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hidePivotFieldList="1" defaultThemeVersion="124226"/>
  <mc:AlternateContent xmlns:mc="http://schemas.openxmlformats.org/markup-compatibility/2006">
    <mc:Choice Requires="x15">
      <x15ac:absPath xmlns:x15ac="http://schemas.microsoft.com/office/spreadsheetml/2010/11/ac" url="D:\Users\julirom\Desktop\MAPA DE RIESGOS 2023\"/>
    </mc:Choice>
  </mc:AlternateContent>
  <xr:revisionPtr revIDLastSave="0" documentId="8_{37955C6D-A1F0-40EB-9529-60792DEA5CC2}" xr6:coauthVersionLast="47" xr6:coauthVersionMax="47" xr10:uidLastSave="{00000000-0000-0000-0000-000000000000}"/>
  <bookViews>
    <workbookView xWindow="-120" yWindow="-120" windowWidth="24240" windowHeight="13140" tabRatio="882" activeTab="3" xr2:uid="{00000000-000D-0000-FFFF-FFFF00000000}"/>
  </bookViews>
  <sheets>
    <sheet name="Pagina SIG" sheetId="23" r:id="rId1"/>
    <sheet name="Intructivo" sheetId="24" r:id="rId2"/>
    <sheet name="Intructivo." sheetId="20" state="hidden" r:id="rId3"/>
    <sheet name="Mapa final" sheetId="1" r:id="rId4"/>
    <sheet name="Matriz Calor Inherente" sheetId="18" r:id="rId5"/>
    <sheet name="Matriz Calor Residual" sheetId="19" r:id="rId6"/>
    <sheet name="Tabla probabilidad" sheetId="12" r:id="rId7"/>
    <sheet name="Tabla Impacto" sheetId="13" r:id="rId8"/>
    <sheet name="Tabla Valoración controles" sheetId="15" r:id="rId9"/>
    <sheet name="Tabla Impacto Corrupción R1" sheetId="22" r:id="rId10"/>
    <sheet name="Parametros" sheetId="21" state="hidden" r:id="rId11"/>
    <sheet name="Opciones Tratamiento" sheetId="16" state="hidden" r:id="rId12"/>
    <sheet name="Hoja1" sheetId="11" state="hidden" r:id="rId13"/>
  </sheets>
  <externalReferences>
    <externalReference r:id="rId14"/>
    <externalReference r:id="rId15"/>
    <externalReference r:id="rId16"/>
    <externalReference r:id="rId17"/>
    <externalReference r:id="rId18"/>
    <externalReference r:id="rId19"/>
    <externalReference r:id="rId20"/>
  </externalReferences>
  <definedNames>
    <definedName name="_xlnm._FilterDatabase" localSheetId="3" hidden="1">'Mapa final'!$A$11:$BU$72</definedName>
    <definedName name="_xlnm.Print_Area" localSheetId="3">'Mapa final'!$A$1:$AO$74</definedName>
    <definedName name="_xlnm.Print_Titles" localSheetId="3">'Mapa final'!$9:$11</definedName>
  </definedNames>
  <calcPr calcId="191029"/>
  <pivotCaches>
    <pivotCache cacheId="0" r:id="rId2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1" i="1" l="1"/>
  <c r="M23" i="22"/>
  <c r="N23" i="22"/>
  <c r="O23" i="22"/>
  <c r="P23" i="22"/>
  <c r="Q23" i="22"/>
  <c r="R23" i="22"/>
  <c r="D23" i="22"/>
  <c r="E23" i="22"/>
  <c r="F23" i="22"/>
  <c r="G23" i="22"/>
  <c r="H23" i="22"/>
  <c r="I23" i="22"/>
  <c r="J23" i="22"/>
  <c r="K23" i="22"/>
  <c r="L23" i="22"/>
  <c r="C23" i="22"/>
  <c r="V12" i="1"/>
  <c r="V13" i="1"/>
  <c r="V14" i="1"/>
  <c r="V15" i="1"/>
  <c r="V16" i="1"/>
  <c r="V17" i="1"/>
  <c r="V18" i="1"/>
  <c r="V19" i="1"/>
  <c r="V20" i="1"/>
  <c r="V21" i="1"/>
  <c r="V22" i="1"/>
  <c r="V23" i="1"/>
  <c r="V24" i="1"/>
  <c r="V25" i="1"/>
  <c r="V26" i="1"/>
  <c r="V27" i="1"/>
  <c r="V28" i="1"/>
  <c r="V29" i="1"/>
  <c r="V30" i="1"/>
  <c r="V31" i="1"/>
  <c r="V32" i="1"/>
  <c r="M12" i="1"/>
  <c r="N12" i="1"/>
  <c r="AC12" i="1" s="1"/>
  <c r="R36" i="18"/>
  <c r="AJ28" i="18"/>
  <c r="Y12" i="1"/>
  <c r="F221" i="13"/>
  <c r="F211" i="13"/>
  <c r="F212" i="13"/>
  <c r="F213" i="13"/>
  <c r="F214" i="13"/>
  <c r="F215" i="13"/>
  <c r="F216" i="13"/>
  <c r="F217" i="13"/>
  <c r="F218" i="13"/>
  <c r="F219" i="13"/>
  <c r="F220" i="13"/>
  <c r="F210" i="13"/>
  <c r="V54" i="1"/>
  <c r="V49" i="1"/>
  <c r="V43" i="1"/>
  <c r="AL44" i="18"/>
  <c r="AJ44" i="18"/>
  <c r="AF44" i="18"/>
  <c r="AD44" i="18"/>
  <c r="Z44" i="18"/>
  <c r="X44" i="18"/>
  <c r="T44" i="18"/>
  <c r="R44" i="18"/>
  <c r="N44" i="18"/>
  <c r="L44" i="18"/>
  <c r="AL36" i="18"/>
  <c r="AJ36" i="18"/>
  <c r="AF36" i="18"/>
  <c r="AD36" i="18"/>
  <c r="Z36" i="18"/>
  <c r="X36" i="18"/>
  <c r="T36" i="18"/>
  <c r="N36" i="18"/>
  <c r="L36" i="18"/>
  <c r="AL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Y71" i="1"/>
  <c r="V71" i="1"/>
  <c r="AC71" i="1" s="1"/>
  <c r="AE71" i="1" s="1"/>
  <c r="Y70" i="1"/>
  <c r="V70" i="1"/>
  <c r="Y69" i="1"/>
  <c r="V69" i="1"/>
  <c r="Y68" i="1"/>
  <c r="V68" i="1"/>
  <c r="Y67" i="1"/>
  <c r="V67" i="1"/>
  <c r="Y66" i="1"/>
  <c r="V66" i="1"/>
  <c r="AC66" i="1"/>
  <c r="AD66" i="1" s="1"/>
  <c r="AB35" i="19" s="1"/>
  <c r="M66" i="1"/>
  <c r="N66" i="1" s="1"/>
  <c r="Y65" i="1"/>
  <c r="V65" i="1"/>
  <c r="Y64" i="1"/>
  <c r="V64" i="1"/>
  <c r="Y63" i="1"/>
  <c r="V63" i="1"/>
  <c r="Y62" i="1"/>
  <c r="V62" i="1"/>
  <c r="V61" i="1"/>
  <c r="Y60" i="1"/>
  <c r="V60" i="1"/>
  <c r="AC60" i="1" s="1"/>
  <c r="M60" i="1"/>
  <c r="N60" i="1"/>
  <c r="Y59" i="1"/>
  <c r="V59" i="1"/>
  <c r="AC59" i="1" s="1"/>
  <c r="Y58" i="1"/>
  <c r="V58" i="1"/>
  <c r="Y57" i="1"/>
  <c r="V57" i="1"/>
  <c r="Y56" i="1"/>
  <c r="V56" i="1"/>
  <c r="Y55" i="1"/>
  <c r="V55" i="1"/>
  <c r="AG56" i="1" s="1"/>
  <c r="AF56" i="1" s="1"/>
  <c r="Y54" i="1"/>
  <c r="M54" i="1"/>
  <c r="N54" i="1"/>
  <c r="Y53" i="1"/>
  <c r="V53" i="1"/>
  <c r="Y52" i="1"/>
  <c r="V52" i="1"/>
  <c r="Y51" i="1"/>
  <c r="V51" i="1"/>
  <c r="Y50" i="1"/>
  <c r="V50" i="1"/>
  <c r="Y49" i="1"/>
  <c r="Y48" i="1"/>
  <c r="V48" i="1"/>
  <c r="M48" i="1"/>
  <c r="N48" i="1"/>
  <c r="AC48" i="1" s="1"/>
  <c r="AE48" i="1" s="1"/>
  <c r="AC49" i="1" s="1"/>
  <c r="Y47" i="1"/>
  <c r="V47" i="1"/>
  <c r="Y46" i="1"/>
  <c r="V46" i="1"/>
  <c r="Y45" i="1"/>
  <c r="V45" i="1"/>
  <c r="Y44" i="1"/>
  <c r="V44" i="1"/>
  <c r="Y43" i="1"/>
  <c r="Y42" i="1"/>
  <c r="V42" i="1"/>
  <c r="M42" i="1"/>
  <c r="N42" i="1" s="1"/>
  <c r="AC42" i="1" s="1"/>
  <c r="AE42" i="1" s="1"/>
  <c r="AC43" i="1" s="1"/>
  <c r="AD43" i="1" s="1"/>
  <c r="Y41" i="1"/>
  <c r="V41" i="1"/>
  <c r="AG41" i="1" s="1"/>
  <c r="AF41" i="1" s="1"/>
  <c r="Y40" i="1"/>
  <c r="V40" i="1"/>
  <c r="Y39" i="1"/>
  <c r="V39" i="1"/>
  <c r="Y38" i="1"/>
  <c r="V38" i="1"/>
  <c r="Y37" i="1"/>
  <c r="V37" i="1"/>
  <c r="Y36" i="1"/>
  <c r="AC36" i="1" s="1"/>
  <c r="V36" i="1"/>
  <c r="M36" i="1"/>
  <c r="N36" i="1"/>
  <c r="Y35" i="1"/>
  <c r="V35" i="1"/>
  <c r="Y34" i="1"/>
  <c r="V34" i="1"/>
  <c r="Y33" i="1"/>
  <c r="V33" i="1"/>
  <c r="Y32" i="1"/>
  <c r="Y31" i="1"/>
  <c r="Y30" i="1"/>
  <c r="AC30" i="1" s="1"/>
  <c r="AD30" i="1" s="1"/>
  <c r="M30" i="1"/>
  <c r="N30" i="1"/>
  <c r="Y29" i="1"/>
  <c r="Y28" i="1"/>
  <c r="Y27" i="1"/>
  <c r="Y26" i="1"/>
  <c r="Y25" i="1"/>
  <c r="Y24" i="1"/>
  <c r="AC24" i="1" s="1"/>
  <c r="AD24" i="1" s="1"/>
  <c r="M24" i="1"/>
  <c r="N24" i="1"/>
  <c r="M18" i="1"/>
  <c r="N18" i="1"/>
  <c r="Y23" i="1"/>
  <c r="Y22" i="1"/>
  <c r="Y21" i="1"/>
  <c r="Y20" i="1"/>
  <c r="Y19" i="1"/>
  <c r="Y18" i="1"/>
  <c r="Y13" i="1"/>
  <c r="Y14" i="1"/>
  <c r="Y15" i="1"/>
  <c r="Y16" i="1"/>
  <c r="Y17" i="1"/>
  <c r="AC15" i="1"/>
  <c r="AE15" i="1" s="1"/>
  <c r="AC16" i="1"/>
  <c r="AE16" i="1" s="1"/>
  <c r="AG29" i="1"/>
  <c r="AF29" i="1"/>
  <c r="AH29" i="1" s="1"/>
  <c r="AC62" i="1"/>
  <c r="AE62" i="1"/>
  <c r="AC29" i="1"/>
  <c r="AE29" i="1"/>
  <c r="AG35" i="1"/>
  <c r="AF35" i="1" s="1"/>
  <c r="AC53" i="1"/>
  <c r="AG15" i="1"/>
  <c r="AF15" i="1"/>
  <c r="AG23" i="1"/>
  <c r="AF23" i="1"/>
  <c r="AG62" i="1"/>
  <c r="AF62" i="1" s="1"/>
  <c r="AG16" i="1"/>
  <c r="AF16" i="1" s="1"/>
  <c r="AC41" i="1"/>
  <c r="AC64" i="1"/>
  <c r="AG71" i="1"/>
  <c r="AF71" i="1"/>
  <c r="O35" i="19" s="1"/>
  <c r="AG66" i="1"/>
  <c r="AF66" i="1"/>
  <c r="AC67" i="1"/>
  <c r="AC65" i="1"/>
  <c r="AG65" i="1"/>
  <c r="AF65" i="1"/>
  <c r="AC22" i="1"/>
  <c r="AD22" i="1" s="1"/>
  <c r="AC23" i="1"/>
  <c r="AG22" i="1"/>
  <c r="AF22" i="1" s="1"/>
  <c r="N47" i="19" s="1"/>
  <c r="AD62" i="1"/>
  <c r="AE30" i="1"/>
  <c r="AC31" i="1" s="1"/>
  <c r="AE31" i="1" s="1"/>
  <c r="AC32" i="1" s="1"/>
  <c r="AD29" i="1"/>
  <c r="U28" i="19" s="1"/>
  <c r="AE24" i="1"/>
  <c r="AJ14" i="19"/>
  <c r="R44" i="19"/>
  <c r="AE22" i="1"/>
  <c r="AD71" i="1"/>
  <c r="AD42" i="1"/>
  <c r="V25" i="19"/>
  <c r="V45" i="19"/>
  <c r="AD23" i="1"/>
  <c r="AG47" i="19" s="1"/>
  <c r="AE23" i="1"/>
  <c r="AD65" i="1"/>
  <c r="AE65" i="1"/>
  <c r="AD31" i="1"/>
  <c r="AM48" i="19"/>
  <c r="AA38" i="19"/>
  <c r="U25" i="19"/>
  <c r="U35" i="19"/>
  <c r="O25" i="19"/>
  <c r="U15" i="19"/>
  <c r="AG25" i="19"/>
  <c r="AG35" i="19"/>
  <c r="AG45" i="19"/>
  <c r="O15" i="19"/>
  <c r="AA55" i="19"/>
  <c r="U14" i="19"/>
  <c r="AG24" i="19"/>
  <c r="AG54" i="19"/>
  <c r="AM34" i="19"/>
  <c r="O44" i="19"/>
  <c r="AG44" i="19"/>
  <c r="AA54" i="19"/>
  <c r="AM14" i="19"/>
  <c r="O34" i="19"/>
  <c r="U44" i="19"/>
  <c r="U54" i="19"/>
  <c r="AA14" i="19"/>
  <c r="AA44" i="19"/>
  <c r="O24" i="19"/>
  <c r="U34" i="19"/>
  <c r="AM44" i="19"/>
  <c r="AG14" i="19"/>
  <c r="AM24" i="19"/>
  <c r="AA34" i="19"/>
  <c r="AM54" i="19"/>
  <c r="AH65" i="1"/>
  <c r="AA24" i="19"/>
  <c r="O54" i="19"/>
  <c r="U24" i="19"/>
  <c r="AG34" i="19"/>
  <c r="O14" i="19"/>
  <c r="AD32" i="1"/>
  <c r="AE32" i="1"/>
  <c r="AC33" i="1"/>
  <c r="AC39" i="1"/>
  <c r="AC40" i="1"/>
  <c r="AE40" i="1"/>
  <c r="AD40" i="1"/>
  <c r="AL10" i="19" s="1"/>
  <c r="AG39" i="1"/>
  <c r="AF39" i="1"/>
  <c r="AG40" i="1"/>
  <c r="AF40" i="1" s="1"/>
  <c r="P31" i="1"/>
  <c r="P37" i="1"/>
  <c r="P35" i="1"/>
  <c r="P44" i="1"/>
  <c r="P43" i="1"/>
  <c r="P69" i="1"/>
  <c r="P33" i="1"/>
  <c r="P26" i="1"/>
  <c r="P23" i="1"/>
  <c r="P63" i="1"/>
  <c r="P53" i="1"/>
  <c r="P34" i="1"/>
  <c r="P50" i="1"/>
  <c r="P14" i="1"/>
  <c r="P59" i="1"/>
  <c r="P70" i="1"/>
  <c r="P17" i="1"/>
  <c r="P21" i="1"/>
  <c r="P57" i="1"/>
  <c r="P61" i="1"/>
  <c r="P58" i="1"/>
  <c r="P29" i="1"/>
  <c r="P27" i="1"/>
  <c r="P71" i="1"/>
  <c r="P67" i="1"/>
  <c r="P20" i="1"/>
  <c r="P47" i="1"/>
  <c r="P41" i="1"/>
  <c r="P45" i="1"/>
  <c r="P22" i="1"/>
  <c r="P19" i="1"/>
  <c r="P64" i="1"/>
  <c r="P15" i="1"/>
  <c r="P39" i="1"/>
  <c r="P68" i="1"/>
  <c r="P56" i="1"/>
  <c r="P16" i="1"/>
  <c r="P52" i="1"/>
  <c r="P51" i="1"/>
  <c r="P49" i="1"/>
  <c r="P62" i="1"/>
  <c r="P65" i="1"/>
  <c r="P55" i="1"/>
  <c r="P32" i="1"/>
  <c r="P38" i="1"/>
  <c r="P40" i="1"/>
  <c r="P28" i="1"/>
  <c r="P13" i="1"/>
  <c r="P46" i="1"/>
  <c r="P25" i="1"/>
  <c r="B221" i="13" a="1"/>
  <c r="B221" i="13"/>
  <c r="H210" i="13" s="1"/>
  <c r="AC54" i="1" l="1"/>
  <c r="Z20" i="19"/>
  <c r="N50" i="19"/>
  <c r="Z30" i="19"/>
  <c r="AC69" i="1"/>
  <c r="AC70" i="1"/>
  <c r="AG70" i="1"/>
  <c r="AF70" i="1" s="1"/>
  <c r="AG69" i="1"/>
  <c r="AF69" i="1" s="1"/>
  <c r="AE12" i="1"/>
  <c r="AC13" i="1" s="1"/>
  <c r="AD12" i="1"/>
  <c r="AE36" i="1"/>
  <c r="AD36" i="1"/>
  <c r="AF10" i="19"/>
  <c r="AF37" i="19"/>
  <c r="AD64" i="1"/>
  <c r="AE64" i="1"/>
  <c r="Z7" i="19"/>
  <c r="AG17" i="19"/>
  <c r="AA7" i="19"/>
  <c r="O27" i="19"/>
  <c r="AA37" i="19"/>
  <c r="U37" i="19"/>
  <c r="AH23" i="1"/>
  <c r="U7" i="19"/>
  <c r="O17" i="19"/>
  <c r="O37" i="19"/>
  <c r="U17" i="19"/>
  <c r="AG37" i="19"/>
  <c r="U27" i="19"/>
  <c r="AA17" i="19"/>
  <c r="O47" i="19"/>
  <c r="AA27" i="19"/>
  <c r="AM47" i="19"/>
  <c r="U47" i="19"/>
  <c r="AG27" i="19"/>
  <c r="O7" i="19"/>
  <c r="AM37" i="19"/>
  <c r="AG7" i="19"/>
  <c r="AM17" i="19"/>
  <c r="AC18" i="1"/>
  <c r="AM27" i="19"/>
  <c r="T47" i="19"/>
  <c r="N37" i="19"/>
  <c r="Z47" i="19"/>
  <c r="T7" i="19"/>
  <c r="AA47" i="19"/>
  <c r="AE39" i="1"/>
  <c r="AD39" i="1"/>
  <c r="AF47" i="19"/>
  <c r="AL30" i="19"/>
  <c r="Z40" i="19"/>
  <c r="T50" i="19"/>
  <c r="AH40" i="1"/>
  <c r="N20" i="19"/>
  <c r="N40" i="19"/>
  <c r="N10" i="19"/>
  <c r="AF30" i="19"/>
  <c r="T30" i="19"/>
  <c r="Z50" i="19"/>
  <c r="AF50" i="19"/>
  <c r="AL50" i="19"/>
  <c r="T10" i="19"/>
  <c r="T40" i="19"/>
  <c r="AL40" i="19"/>
  <c r="AF40" i="19"/>
  <c r="AL20" i="19"/>
  <c r="N30" i="19"/>
  <c r="AD49" i="1"/>
  <c r="AE49" i="1"/>
  <c r="AC50" i="1" s="1"/>
  <c r="AD33" i="1"/>
  <c r="AE33" i="1"/>
  <c r="T27" i="19"/>
  <c r="AL27" i="19"/>
  <c r="T20" i="19"/>
  <c r="AF20" i="19"/>
  <c r="AM7" i="19"/>
  <c r="Z10" i="19"/>
  <c r="T17" i="19"/>
  <c r="X24" i="19"/>
  <c r="L34" i="19"/>
  <c r="X34" i="19"/>
  <c r="R24" i="19"/>
  <c r="X44" i="19"/>
  <c r="AJ44" i="19"/>
  <c r="L24" i="19"/>
  <c r="X14" i="19"/>
  <c r="AJ54" i="19"/>
  <c r="AH62" i="1"/>
  <c r="X54" i="19"/>
  <c r="AD24" i="19"/>
  <c r="AD34" i="19"/>
  <c r="R54" i="19"/>
  <c r="R14" i="19"/>
  <c r="L54" i="19"/>
  <c r="AJ24" i="19"/>
  <c r="L44" i="19"/>
  <c r="AD14" i="19"/>
  <c r="AD54" i="19"/>
  <c r="R34" i="19"/>
  <c r="AJ34" i="19"/>
  <c r="L14" i="19"/>
  <c r="AD44" i="19"/>
  <c r="AD59" i="1"/>
  <c r="AE59" i="1"/>
  <c r="AC56" i="1"/>
  <c r="AF17" i="19"/>
  <c r="N7" i="19"/>
  <c r="AH22" i="1"/>
  <c r="AG34" i="1"/>
  <c r="AF34" i="1" s="1"/>
  <c r="AC34" i="1"/>
  <c r="AC35" i="1"/>
  <c r="AC37" i="1"/>
  <c r="AE53" i="1"/>
  <c r="AD53" i="1"/>
  <c r="P25" i="19"/>
  <c r="AH35" i="19"/>
  <c r="AH66" i="1"/>
  <c r="J25" i="19"/>
  <c r="P55" i="19"/>
  <c r="P35" i="19"/>
  <c r="J55" i="19"/>
  <c r="V35" i="19"/>
  <c r="AH55" i="19"/>
  <c r="V15" i="19"/>
  <c r="J45" i="19"/>
  <c r="J15" i="19"/>
  <c r="AB25" i="19"/>
  <c r="P15" i="19"/>
  <c r="V55" i="19"/>
  <c r="AB55" i="19"/>
  <c r="P45" i="19"/>
  <c r="AH45" i="19"/>
  <c r="U48" i="19"/>
  <c r="AM18" i="19"/>
  <c r="AA18" i="19"/>
  <c r="O18" i="19"/>
  <c r="U8" i="19"/>
  <c r="AA48" i="19"/>
  <c r="AG38" i="19"/>
  <c r="AM28" i="19"/>
  <c r="O48" i="19"/>
  <c r="AG8" i="19"/>
  <c r="O8" i="19"/>
  <c r="AG48" i="19"/>
  <c r="AA28" i="19"/>
  <c r="U18" i="19"/>
  <c r="O28" i="19"/>
  <c r="AC63" i="1"/>
  <c r="AG63" i="1"/>
  <c r="AF63" i="1" s="1"/>
  <c r="AG64" i="1"/>
  <c r="AF64" i="1" s="1"/>
  <c r="AF27" i="19"/>
  <c r="AL37" i="19"/>
  <c r="AL17" i="19"/>
  <c r="O45" i="19"/>
  <c r="AG55" i="19"/>
  <c r="AG28" i="19"/>
  <c r="AA8" i="19"/>
  <c r="AH15" i="19"/>
  <c r="AD15" i="1"/>
  <c r="AD16" i="1"/>
  <c r="AG68" i="1"/>
  <c r="AF68" i="1" s="1"/>
  <c r="AG67" i="1"/>
  <c r="AF67" i="1" s="1"/>
  <c r="AC52" i="1"/>
  <c r="AG53" i="1"/>
  <c r="AF53" i="1" s="1"/>
  <c r="AG52" i="1"/>
  <c r="AF52" i="1" s="1"/>
  <c r="Z17" i="19"/>
  <c r="N27" i="19"/>
  <c r="AF7" i="19"/>
  <c r="AM8" i="19"/>
  <c r="U38" i="19"/>
  <c r="J35" i="19"/>
  <c r="AE41" i="1"/>
  <c r="AD41" i="1"/>
  <c r="AG58" i="1"/>
  <c r="AF58" i="1" s="1"/>
  <c r="AC58" i="1"/>
  <c r="AC57" i="1"/>
  <c r="AG57" i="1"/>
  <c r="AF57" i="1" s="1"/>
  <c r="AE60" i="1"/>
  <c r="AC61" i="1" s="1"/>
  <c r="AD60" i="1"/>
  <c r="AG17" i="1"/>
  <c r="AF17" i="1" s="1"/>
  <c r="AC17" i="1"/>
  <c r="AL7" i="19"/>
  <c r="AL47" i="19"/>
  <c r="N17" i="19"/>
  <c r="AM38" i="19"/>
  <c r="AB45" i="19"/>
  <c r="AD48" i="1"/>
  <c r="AE67" i="1"/>
  <c r="AD67" i="1"/>
  <c r="AH25" i="19"/>
  <c r="Z37" i="19"/>
  <c r="Z27" i="19"/>
  <c r="T37" i="19"/>
  <c r="AE43" i="1"/>
  <c r="AC44" i="1" s="1"/>
  <c r="AM55" i="19"/>
  <c r="AG18" i="19"/>
  <c r="O38" i="19"/>
  <c r="AB15" i="19"/>
  <c r="AA45" i="19"/>
  <c r="O55" i="19"/>
  <c r="AM15" i="19"/>
  <c r="AM25" i="19"/>
  <c r="AM35" i="19"/>
  <c r="AH71" i="1"/>
  <c r="AG15" i="19"/>
  <c r="AM45" i="19"/>
  <c r="AA15" i="19"/>
  <c r="U55" i="19"/>
  <c r="U45" i="19"/>
  <c r="AA25" i="19"/>
  <c r="AA35" i="19"/>
  <c r="AC25" i="1"/>
  <c r="AE66" i="1"/>
  <c r="AG59" i="1"/>
  <c r="AF59" i="1" s="1"/>
  <c r="AC68" i="1"/>
  <c r="P60" i="1"/>
  <c r="Q60" i="1" s="1"/>
  <c r="P18" i="1"/>
  <c r="Q18" i="1" s="1"/>
  <c r="P66" i="1"/>
  <c r="Q66" i="1" s="1"/>
  <c r="P12" i="1"/>
  <c r="Q12" i="1" s="1"/>
  <c r="P42" i="1"/>
  <c r="Q42" i="1" s="1"/>
  <c r="P24" i="1"/>
  <c r="Q24" i="1" s="1"/>
  <c r="P30" i="1"/>
  <c r="Q30" i="1" s="1"/>
  <c r="P54" i="1"/>
  <c r="Q54" i="1" s="1"/>
  <c r="P36" i="1"/>
  <c r="Q36" i="1" s="1"/>
  <c r="P48" i="1"/>
  <c r="Q48" i="1" s="1"/>
  <c r="AD44" i="1" l="1"/>
  <c r="AE44" i="1"/>
  <c r="AC45" i="1" s="1"/>
  <c r="AD68" i="1"/>
  <c r="AE68" i="1"/>
  <c r="AD57" i="1"/>
  <c r="AE57" i="1"/>
  <c r="AE56" i="1"/>
  <c r="AD56" i="1"/>
  <c r="AE63" i="1"/>
  <c r="AD63" i="1"/>
  <c r="AE61" i="1"/>
  <c r="AD61" i="1"/>
  <c r="AE58" i="1"/>
  <c r="AD58" i="1"/>
  <c r="AF16" i="19"/>
  <c r="T46" i="19"/>
  <c r="Z16" i="19"/>
  <c r="AF36" i="19"/>
  <c r="T16" i="19"/>
  <c r="T36" i="19"/>
  <c r="AL6" i="19"/>
  <c r="Z46" i="19"/>
  <c r="T6" i="19"/>
  <c r="N26" i="19"/>
  <c r="AL26" i="19"/>
  <c r="N46" i="19"/>
  <c r="AL16" i="19"/>
  <c r="Z36" i="19"/>
  <c r="N6" i="19"/>
  <c r="N16" i="19"/>
  <c r="Z6" i="19"/>
  <c r="AH16" i="1"/>
  <c r="Z26" i="19"/>
  <c r="AF6" i="19"/>
  <c r="AL36" i="19"/>
  <c r="N36" i="19"/>
  <c r="AF26" i="19"/>
  <c r="AL46" i="19"/>
  <c r="AF46" i="19"/>
  <c r="T26" i="19"/>
  <c r="AE37" i="1"/>
  <c r="AC38" i="1" s="1"/>
  <c r="AD37" i="1"/>
  <c r="AD69" i="1"/>
  <c r="AE69" i="1"/>
  <c r="AC15" i="19"/>
  <c r="W15" i="19"/>
  <c r="AC45" i="19"/>
  <c r="AC35" i="19"/>
  <c r="W25" i="19"/>
  <c r="AI35" i="19"/>
  <c r="Q45" i="19"/>
  <c r="AI25" i="19"/>
  <c r="W35" i="19"/>
  <c r="AI45" i="19"/>
  <c r="AC25" i="19"/>
  <c r="K55" i="19"/>
  <c r="Q35" i="19"/>
  <c r="Q25" i="19"/>
  <c r="Q15" i="19"/>
  <c r="AI55" i="19"/>
  <c r="K45" i="19"/>
  <c r="AC55" i="19"/>
  <c r="W55" i="19"/>
  <c r="AH67" i="1"/>
  <c r="Q55" i="19"/>
  <c r="AI15" i="19"/>
  <c r="K25" i="19"/>
  <c r="W45" i="19"/>
  <c r="K15" i="19"/>
  <c r="K35" i="19"/>
  <c r="Y26" i="19"/>
  <c r="AK26" i="19"/>
  <c r="S46" i="19"/>
  <c r="Y6" i="19"/>
  <c r="AK46" i="19"/>
  <c r="AK6" i="19"/>
  <c r="M26" i="19"/>
  <c r="Y36" i="19"/>
  <c r="S26" i="19"/>
  <c r="AE26" i="19"/>
  <c r="AK16" i="19"/>
  <c r="Y46" i="19"/>
  <c r="S6" i="19"/>
  <c r="M46" i="19"/>
  <c r="M6" i="19"/>
  <c r="Y16" i="19"/>
  <c r="AH15" i="1"/>
  <c r="AE16" i="19"/>
  <c r="S16" i="19"/>
  <c r="AE36" i="19"/>
  <c r="AK36" i="19"/>
  <c r="AE6" i="19"/>
  <c r="M16" i="19"/>
  <c r="AE46" i="19"/>
  <c r="M36" i="19"/>
  <c r="S36" i="19"/>
  <c r="AD35" i="1"/>
  <c r="AE35" i="1"/>
  <c r="AM23" i="19"/>
  <c r="AA43" i="19"/>
  <c r="U23" i="19"/>
  <c r="U53" i="19"/>
  <c r="AA33" i="19"/>
  <c r="U33" i="19"/>
  <c r="AG53" i="19"/>
  <c r="AA23" i="19"/>
  <c r="AH59" i="1"/>
  <c r="AM53" i="19"/>
  <c r="AM33" i="19"/>
  <c r="O43" i="19"/>
  <c r="AG13" i="19"/>
  <c r="AG33" i="19"/>
  <c r="O53" i="19"/>
  <c r="O33" i="19"/>
  <c r="U13" i="19"/>
  <c r="O23" i="19"/>
  <c r="AM43" i="19"/>
  <c r="AG43" i="19"/>
  <c r="O13" i="19"/>
  <c r="U43" i="19"/>
  <c r="AG23" i="19"/>
  <c r="AA53" i="19"/>
  <c r="AM13" i="19"/>
  <c r="AA13" i="19"/>
  <c r="Y20" i="19"/>
  <c r="M20" i="19"/>
  <c r="AH39" i="1"/>
  <c r="M10" i="19"/>
  <c r="AK50" i="19"/>
  <c r="Y30" i="19"/>
  <c r="S30" i="19"/>
  <c r="Y50" i="19"/>
  <c r="M30" i="19"/>
  <c r="AK40" i="19"/>
  <c r="S40" i="19"/>
  <c r="AE50" i="19"/>
  <c r="AE40" i="19"/>
  <c r="S20" i="19"/>
  <c r="M40" i="19"/>
  <c r="AK20" i="19"/>
  <c r="M50" i="19"/>
  <c r="AE20" i="19"/>
  <c r="AK30" i="19"/>
  <c r="S10" i="19"/>
  <c r="AE30" i="19"/>
  <c r="S50" i="19"/>
  <c r="Y40" i="19"/>
  <c r="AK10" i="19"/>
  <c r="Y10" i="19"/>
  <c r="AE10" i="19"/>
  <c r="AD52" i="1"/>
  <c r="AE52" i="1"/>
  <c r="AE70" i="1"/>
  <c r="AD70" i="1"/>
  <c r="AE25" i="1"/>
  <c r="AC26" i="1" s="1"/>
  <c r="AD25" i="1"/>
  <c r="AD17" i="1"/>
  <c r="AE17" i="1"/>
  <c r="AA40" i="19"/>
  <c r="AA30" i="19"/>
  <c r="O40" i="19"/>
  <c r="AA50" i="19"/>
  <c r="AG20" i="19"/>
  <c r="AM30" i="19"/>
  <c r="AM20" i="19"/>
  <c r="AG30" i="19"/>
  <c r="U30" i="19"/>
  <c r="O50" i="19"/>
  <c r="AG50" i="19"/>
  <c r="O10" i="19"/>
  <c r="AA10" i="19"/>
  <c r="U20" i="19"/>
  <c r="U40" i="19"/>
  <c r="AG40" i="19"/>
  <c r="U50" i="19"/>
  <c r="O20" i="19"/>
  <c r="AG10" i="19"/>
  <c r="AH41" i="1"/>
  <c r="AM40" i="19"/>
  <c r="O30" i="19"/>
  <c r="U10" i="19"/>
  <c r="AA20" i="19"/>
  <c r="AM10" i="19"/>
  <c r="AM50" i="19"/>
  <c r="AD34" i="1"/>
  <c r="AE34" i="1"/>
  <c r="AD13" i="1"/>
  <c r="AE13" i="1"/>
  <c r="AC14" i="1" s="1"/>
  <c r="AD54" i="1"/>
  <c r="AE54" i="1"/>
  <c r="AC55" i="1" s="1"/>
  <c r="AF34" i="19"/>
  <c r="N34" i="19"/>
  <c r="Z54" i="19"/>
  <c r="N24" i="19"/>
  <c r="T34" i="19"/>
  <c r="AL14" i="19"/>
  <c r="T14" i="19"/>
  <c r="Z24" i="19"/>
  <c r="AL54" i="19"/>
  <c r="AH64" i="1"/>
  <c r="AL44" i="19"/>
  <c r="N14" i="19"/>
  <c r="AF54" i="19"/>
  <c r="N44" i="19"/>
  <c r="T44" i="19"/>
  <c r="Z34" i="19"/>
  <c r="AF24" i="19"/>
  <c r="AF14" i="19"/>
  <c r="Z14" i="19"/>
  <c r="N54" i="19"/>
  <c r="AL34" i="19"/>
  <c r="T54" i="19"/>
  <c r="AL24" i="19"/>
  <c r="Z44" i="19"/>
  <c r="AF44" i="19"/>
  <c r="T24" i="19"/>
  <c r="AA52" i="19"/>
  <c r="AM32" i="19"/>
  <c r="AH53" i="1"/>
  <c r="O32" i="19"/>
  <c r="AG52" i="19"/>
  <c r="U22" i="19"/>
  <c r="O12" i="19"/>
  <c r="AG22" i="19"/>
  <c r="AG42" i="19"/>
  <c r="AA32" i="19"/>
  <c r="AA22" i="19"/>
  <c r="AA42" i="19"/>
  <c r="U52" i="19"/>
  <c r="O22" i="19"/>
  <c r="O42" i="19"/>
  <c r="AM52" i="19"/>
  <c r="AM12" i="19"/>
  <c r="U12" i="19"/>
  <c r="U32" i="19"/>
  <c r="AA12" i="19"/>
  <c r="AM22" i="19"/>
  <c r="O52" i="19"/>
  <c r="AG32" i="19"/>
  <c r="U42" i="19"/>
  <c r="AG12" i="19"/>
  <c r="AM42" i="19"/>
  <c r="AD50" i="1"/>
  <c r="AE50" i="1"/>
  <c r="AC51" i="1" s="1"/>
  <c r="AD18" i="1"/>
  <c r="AE18" i="1"/>
  <c r="AC19" i="1" s="1"/>
  <c r="J40" i="18"/>
  <c r="AB32" i="18"/>
  <c r="AB16" i="18"/>
  <c r="V16" i="18"/>
  <c r="S30" i="1"/>
  <c r="AB8" i="18"/>
  <c r="J32" i="18"/>
  <c r="P8" i="18"/>
  <c r="P40" i="18"/>
  <c r="AH16" i="18"/>
  <c r="P24" i="18"/>
  <c r="V32" i="18"/>
  <c r="AB40" i="18"/>
  <c r="J16" i="18"/>
  <c r="J8" i="18"/>
  <c r="AH8" i="18"/>
  <c r="AH24" i="18"/>
  <c r="AB24" i="18"/>
  <c r="AH32" i="18"/>
  <c r="P16" i="18"/>
  <c r="P32" i="18"/>
  <c r="R30" i="1"/>
  <c r="AG30" i="1" s="1"/>
  <c r="V8" i="18"/>
  <c r="V24" i="18"/>
  <c r="J24" i="18"/>
  <c r="AH40" i="18"/>
  <c r="V40" i="18"/>
  <c r="AJ26" i="18"/>
  <c r="X18" i="18"/>
  <c r="L18" i="18"/>
  <c r="AD10" i="18"/>
  <c r="X26" i="18"/>
  <c r="S54" i="1"/>
  <c r="L26" i="18"/>
  <c r="AD42" i="18"/>
  <c r="R26" i="18"/>
  <c r="R10" i="18"/>
  <c r="R54" i="1"/>
  <c r="AG54" i="1" s="1"/>
  <c r="AJ18" i="18"/>
  <c r="AJ10" i="18"/>
  <c r="X34" i="18"/>
  <c r="R42" i="18"/>
  <c r="AJ34" i="18"/>
  <c r="R18" i="18"/>
  <c r="AD18" i="18"/>
  <c r="X42" i="18"/>
  <c r="AJ42" i="18"/>
  <c r="L34" i="18"/>
  <c r="R34" i="18"/>
  <c r="L10" i="18"/>
  <c r="L42" i="18"/>
  <c r="X10" i="18"/>
  <c r="AD26" i="18"/>
  <c r="AD34" i="18"/>
  <c r="N24" i="18"/>
  <c r="Z32" i="18"/>
  <c r="Z8" i="18"/>
  <c r="N16" i="18"/>
  <c r="AL40" i="18"/>
  <c r="AL8" i="18"/>
  <c r="AF8" i="18"/>
  <c r="AF24" i="18"/>
  <c r="N32" i="18"/>
  <c r="AL32" i="18"/>
  <c r="R42" i="1"/>
  <c r="AG42" i="1" s="1"/>
  <c r="T24" i="18"/>
  <c r="Z16" i="18"/>
  <c r="AL24" i="18"/>
  <c r="T40" i="18"/>
  <c r="S42" i="1"/>
  <c r="Z40" i="18"/>
  <c r="T16" i="18"/>
  <c r="T32" i="18"/>
  <c r="T8" i="18"/>
  <c r="AF40" i="18"/>
  <c r="N40" i="18"/>
  <c r="Z24" i="18"/>
  <c r="AF16" i="18"/>
  <c r="N8" i="18"/>
  <c r="AF32" i="18"/>
  <c r="AL16" i="18"/>
  <c r="AH22" i="18"/>
  <c r="J30" i="18"/>
  <c r="V22" i="18"/>
  <c r="AH6" i="18"/>
  <c r="AB22" i="18"/>
  <c r="AB38" i="18"/>
  <c r="J38" i="18"/>
  <c r="P22" i="18"/>
  <c r="AH38" i="18"/>
  <c r="R12" i="1"/>
  <c r="AG12" i="1" s="1"/>
  <c r="AB30" i="18"/>
  <c r="J6" i="18"/>
  <c r="J14" i="18"/>
  <c r="P30" i="18"/>
  <c r="V30" i="18"/>
  <c r="P14" i="18"/>
  <c r="S12" i="1"/>
  <c r="V38" i="18"/>
  <c r="P38" i="18"/>
  <c r="P6" i="18"/>
  <c r="J22" i="18"/>
  <c r="V6" i="18"/>
  <c r="V14" i="18"/>
  <c r="AB14" i="18"/>
  <c r="AH30" i="18"/>
  <c r="AH14" i="18"/>
  <c r="AB6" i="18"/>
  <c r="N14" i="18"/>
  <c r="AF22" i="18"/>
  <c r="Z6" i="18"/>
  <c r="AF30" i="18"/>
  <c r="Z22" i="18"/>
  <c r="AL30" i="18"/>
  <c r="S24" i="1"/>
  <c r="T6" i="18"/>
  <c r="AF6" i="18"/>
  <c r="T30" i="18"/>
  <c r="Z38" i="18"/>
  <c r="AL14" i="18"/>
  <c r="Z14" i="18"/>
  <c r="T38" i="18"/>
  <c r="N6" i="18"/>
  <c r="N22" i="18"/>
  <c r="T14" i="18"/>
  <c r="AL38" i="18"/>
  <c r="N38" i="18"/>
  <c r="AL6" i="18"/>
  <c r="AF14" i="18"/>
  <c r="N30" i="18"/>
  <c r="AL22" i="18"/>
  <c r="T22" i="18"/>
  <c r="R24" i="1"/>
  <c r="AG24" i="1" s="1"/>
  <c r="AF38" i="18"/>
  <c r="Z30" i="18"/>
  <c r="V20" i="18"/>
  <c r="J12" i="18"/>
  <c r="V36" i="18"/>
  <c r="P12" i="18"/>
  <c r="P20" i="18"/>
  <c r="AH36" i="18"/>
  <c r="AB12" i="18"/>
  <c r="AH44" i="18"/>
  <c r="J36" i="18"/>
  <c r="S66" i="1"/>
  <c r="R66" i="1"/>
  <c r="P36" i="18"/>
  <c r="AB20" i="18"/>
  <c r="P44" i="18"/>
  <c r="AH20" i="18"/>
  <c r="J28" i="18"/>
  <c r="AH28" i="18"/>
  <c r="V44" i="18"/>
  <c r="J20" i="18"/>
  <c r="J44" i="18"/>
  <c r="AH12" i="18"/>
  <c r="V12" i="18"/>
  <c r="V28" i="18"/>
  <c r="P28" i="18"/>
  <c r="AB44" i="18"/>
  <c r="AB28" i="18"/>
  <c r="AB36" i="18"/>
  <c r="J34" i="18"/>
  <c r="AH18" i="18"/>
  <c r="P34" i="18"/>
  <c r="J18" i="18"/>
  <c r="AB18" i="18"/>
  <c r="S48" i="1"/>
  <c r="J42" i="18"/>
  <c r="AH34" i="18"/>
  <c r="P26" i="18"/>
  <c r="AH42" i="18"/>
  <c r="P18" i="18"/>
  <c r="J26" i="18"/>
  <c r="V42" i="18"/>
  <c r="AH10" i="18"/>
  <c r="P10" i="18"/>
  <c r="AH26" i="18"/>
  <c r="R48" i="1"/>
  <c r="AG48" i="1" s="1"/>
  <c r="P42" i="18"/>
  <c r="V10" i="18"/>
  <c r="AB26" i="18"/>
  <c r="V18" i="18"/>
  <c r="J10" i="18"/>
  <c r="AB42" i="18"/>
  <c r="AB10" i="18"/>
  <c r="V34" i="18"/>
  <c r="AB34" i="18"/>
  <c r="V26" i="18"/>
  <c r="AJ22" i="18"/>
  <c r="AJ38" i="18"/>
  <c r="AD6" i="18"/>
  <c r="L38" i="18"/>
  <c r="S18" i="1"/>
  <c r="R22" i="18"/>
  <c r="R38" i="18"/>
  <c r="AJ6" i="18"/>
  <c r="X14" i="18"/>
  <c r="AD22" i="18"/>
  <c r="L30" i="18"/>
  <c r="L22" i="18"/>
  <c r="R30" i="18"/>
  <c r="X38" i="18"/>
  <c r="X6" i="18"/>
  <c r="AJ14" i="18"/>
  <c r="AD14" i="18"/>
  <c r="R6" i="18"/>
  <c r="R18" i="1"/>
  <c r="AG18" i="1" s="1"/>
  <c r="AD38" i="18"/>
  <c r="X22" i="18"/>
  <c r="X30" i="18"/>
  <c r="AJ30" i="18"/>
  <c r="R14" i="18"/>
  <c r="L14" i="18"/>
  <c r="AD30" i="18"/>
  <c r="L6" i="18"/>
  <c r="AJ32" i="18"/>
  <c r="AJ40" i="18"/>
  <c r="L24" i="18"/>
  <c r="L32" i="18"/>
  <c r="X32" i="18"/>
  <c r="R16" i="18"/>
  <c r="R32" i="18"/>
  <c r="L16" i="18"/>
  <c r="AJ24" i="18"/>
  <c r="X8" i="18"/>
  <c r="AJ8" i="18"/>
  <c r="L40" i="18"/>
  <c r="S36" i="1"/>
  <c r="R40" i="18"/>
  <c r="X24" i="18"/>
  <c r="X40" i="18"/>
  <c r="X16" i="18"/>
  <c r="AD32" i="18"/>
  <c r="AJ16" i="18"/>
  <c r="AD40" i="18"/>
  <c r="L8" i="18"/>
  <c r="AD8" i="18"/>
  <c r="AD16" i="18"/>
  <c r="R8" i="18"/>
  <c r="AD24" i="18"/>
  <c r="R36" i="1"/>
  <c r="AG36" i="1" s="1"/>
  <c r="R24" i="18"/>
  <c r="T18" i="18"/>
  <c r="AF42" i="18"/>
  <c r="Z10" i="18"/>
  <c r="N34" i="18"/>
  <c r="T34" i="18"/>
  <c r="N18" i="18"/>
  <c r="AL42" i="18"/>
  <c r="AF18" i="18"/>
  <c r="Z42" i="18"/>
  <c r="Z34" i="18"/>
  <c r="Z26" i="18"/>
  <c r="T10" i="18"/>
  <c r="AL34" i="18"/>
  <c r="AL18" i="18"/>
  <c r="R60" i="1"/>
  <c r="AG60" i="1" s="1"/>
  <c r="AL26" i="18"/>
  <c r="N10" i="18"/>
  <c r="S60" i="1"/>
  <c r="AL10" i="18"/>
  <c r="AF34" i="18"/>
  <c r="N26" i="18"/>
  <c r="T42" i="18"/>
  <c r="Z18" i="18"/>
  <c r="T26" i="18"/>
  <c r="N42" i="18"/>
  <c r="AF26" i="18"/>
  <c r="AF10" i="18"/>
  <c r="AL12" i="19" l="1"/>
  <c r="T52" i="19"/>
  <c r="T22" i="19"/>
  <c r="AF12" i="19"/>
  <c r="AL32" i="19"/>
  <c r="N32" i="19"/>
  <c r="AH52" i="1"/>
  <c r="Z12" i="19"/>
  <c r="AL52" i="19"/>
  <c r="N52" i="19"/>
  <c r="T12" i="19"/>
  <c r="AL22" i="19"/>
  <c r="T32" i="19"/>
  <c r="AF42" i="19"/>
  <c r="Z32" i="19"/>
  <c r="AL42" i="19"/>
  <c r="N22" i="19"/>
  <c r="AF52" i="19"/>
  <c r="N12" i="19"/>
  <c r="N42" i="19"/>
  <c r="Z22" i="19"/>
  <c r="T42" i="19"/>
  <c r="Z52" i="19"/>
  <c r="AF32" i="19"/>
  <c r="AF22" i="19"/>
  <c r="Z42" i="19"/>
  <c r="AE19" i="1"/>
  <c r="AC20" i="1" s="1"/>
  <c r="AD19" i="1"/>
  <c r="U6" i="19"/>
  <c r="AM46" i="19"/>
  <c r="U46" i="19"/>
  <c r="AH17" i="1"/>
  <c r="AA46" i="19"/>
  <c r="U26" i="19"/>
  <c r="O26" i="19"/>
  <c r="AA36" i="19"/>
  <c r="AG46" i="19"/>
  <c r="AG16" i="19"/>
  <c r="O16" i="19"/>
  <c r="O46" i="19"/>
  <c r="O36" i="19"/>
  <c r="U36" i="19"/>
  <c r="AM16" i="19"/>
  <c r="O6" i="19"/>
  <c r="AA16" i="19"/>
  <c r="U16" i="19"/>
  <c r="AG6" i="19"/>
  <c r="AA26" i="19"/>
  <c r="AG26" i="19"/>
  <c r="AM36" i="19"/>
  <c r="AM6" i="19"/>
  <c r="AA6" i="19"/>
  <c r="AM26" i="19"/>
  <c r="AG36" i="19"/>
  <c r="AK23" i="19"/>
  <c r="S23" i="19"/>
  <c r="M33" i="19"/>
  <c r="M43" i="19"/>
  <c r="AE33" i="19"/>
  <c r="M13" i="19"/>
  <c r="AK53" i="19"/>
  <c r="S13" i="19"/>
  <c r="AE13" i="19"/>
  <c r="M23" i="19"/>
  <c r="AK43" i="19"/>
  <c r="S43" i="19"/>
  <c r="Y33" i="19"/>
  <c r="Y43" i="19"/>
  <c r="AH57" i="1"/>
  <c r="AK33" i="19"/>
  <c r="Y53" i="19"/>
  <c r="AE53" i="19"/>
  <c r="S33" i="19"/>
  <c r="Y23" i="19"/>
  <c r="Y13" i="19"/>
  <c r="M53" i="19"/>
  <c r="AE43" i="19"/>
  <c r="AK13" i="19"/>
  <c r="S53" i="19"/>
  <c r="AE23" i="19"/>
  <c r="AL43" i="19"/>
  <c r="N33" i="19"/>
  <c r="N13" i="19"/>
  <c r="AF33" i="19"/>
  <c r="Z13" i="19"/>
  <c r="AF23" i="19"/>
  <c r="N23" i="19"/>
  <c r="N53" i="19"/>
  <c r="T53" i="19"/>
  <c r="AL33" i="19"/>
  <c r="N43" i="19"/>
  <c r="Z53" i="19"/>
  <c r="T33" i="19"/>
  <c r="T23" i="19"/>
  <c r="Z33" i="19"/>
  <c r="Z23" i="19"/>
  <c r="T43" i="19"/>
  <c r="AL53" i="19"/>
  <c r="AH58" i="1"/>
  <c r="AL23" i="19"/>
  <c r="Z43" i="19"/>
  <c r="T13" i="19"/>
  <c r="AF13" i="19"/>
  <c r="AL13" i="19"/>
  <c r="AF43" i="19"/>
  <c r="AF53" i="19"/>
  <c r="AE51" i="1"/>
  <c r="AD51" i="1"/>
  <c r="AD14" i="1"/>
  <c r="AE14" i="1"/>
  <c r="AE26" i="1"/>
  <c r="AC27" i="1" s="1"/>
  <c r="AD26" i="1"/>
  <c r="AK15" i="19"/>
  <c r="S55" i="19"/>
  <c r="M55" i="19"/>
  <c r="S15" i="19"/>
  <c r="AE55" i="19"/>
  <c r="Y35" i="19"/>
  <c r="AH69" i="1"/>
  <c r="Y15" i="19"/>
  <c r="AK45" i="19"/>
  <c r="AK35" i="19"/>
  <c r="Y55" i="19"/>
  <c r="Y25" i="19"/>
  <c r="AE35" i="19"/>
  <c r="AK25" i="19"/>
  <c r="S25" i="19"/>
  <c r="M25" i="19"/>
  <c r="AE25" i="19"/>
  <c r="M45" i="19"/>
  <c r="M15" i="19"/>
  <c r="M35" i="19"/>
  <c r="S35" i="19"/>
  <c r="Y45" i="19"/>
  <c r="AE15" i="19"/>
  <c r="AE45" i="19"/>
  <c r="AK55" i="19"/>
  <c r="S45" i="19"/>
  <c r="X15" i="19"/>
  <c r="AJ55" i="19"/>
  <c r="L15" i="19"/>
  <c r="AJ15" i="19"/>
  <c r="X25" i="19"/>
  <c r="AJ45" i="19"/>
  <c r="AD15" i="19"/>
  <c r="AD55" i="19"/>
  <c r="R25" i="19"/>
  <c r="L45" i="19"/>
  <c r="X35" i="19"/>
  <c r="AJ25" i="19"/>
  <c r="R35" i="19"/>
  <c r="AD45" i="19"/>
  <c r="R55" i="19"/>
  <c r="L25" i="19"/>
  <c r="AH68" i="1"/>
  <c r="X45" i="19"/>
  <c r="AJ35" i="19"/>
  <c r="AD25" i="19"/>
  <c r="L55" i="19"/>
  <c r="R45" i="19"/>
  <c r="X55" i="19"/>
  <c r="L35" i="19"/>
  <c r="R15" i="19"/>
  <c r="AD35" i="19"/>
  <c r="L53" i="19"/>
  <c r="X13" i="19"/>
  <c r="R13" i="19"/>
  <c r="L33" i="19"/>
  <c r="AD23" i="19"/>
  <c r="R53" i="19"/>
  <c r="L43" i="19"/>
  <c r="AJ43" i="19"/>
  <c r="L13" i="19"/>
  <c r="X43" i="19"/>
  <c r="AJ23" i="19"/>
  <c r="AD33" i="19"/>
  <c r="AJ53" i="19"/>
  <c r="L23" i="19"/>
  <c r="AJ13" i="19"/>
  <c r="R43" i="19"/>
  <c r="R23" i="19"/>
  <c r="R33" i="19"/>
  <c r="AH56" i="1"/>
  <c r="X53" i="19"/>
  <c r="AJ33" i="19"/>
  <c r="X23" i="19"/>
  <c r="AD43" i="19"/>
  <c r="AD53" i="19"/>
  <c r="X33" i="19"/>
  <c r="AD13" i="19"/>
  <c r="AF25" i="19"/>
  <c r="T55" i="19"/>
  <c r="T35" i="19"/>
  <c r="AL55" i="19"/>
  <c r="T45" i="19"/>
  <c r="Z45" i="19"/>
  <c r="AL25" i="19"/>
  <c r="N45" i="19"/>
  <c r="AF55" i="19"/>
  <c r="AL45" i="19"/>
  <c r="T15" i="19"/>
  <c r="N35" i="19"/>
  <c r="Z35" i="19"/>
  <c r="N25" i="19"/>
  <c r="AL35" i="19"/>
  <c r="AL15" i="19"/>
  <c r="AF15" i="19"/>
  <c r="T25" i="19"/>
  <c r="AH70" i="1"/>
  <c r="AF45" i="19"/>
  <c r="N15" i="19"/>
  <c r="AF35" i="19"/>
  <c r="Z55" i="19"/>
  <c r="Z15" i="19"/>
  <c r="N55" i="19"/>
  <c r="Z25" i="19"/>
  <c r="Y14" i="19"/>
  <c r="M54" i="19"/>
  <c r="Y44" i="19"/>
  <c r="AK54" i="19"/>
  <c r="M14" i="19"/>
  <c r="S14" i="19"/>
  <c r="S34" i="19"/>
  <c r="AK44" i="19"/>
  <c r="AE14" i="19"/>
  <c r="M34" i="19"/>
  <c r="AH63" i="1"/>
  <c r="Y34" i="19"/>
  <c r="AK14" i="19"/>
  <c r="AE24" i="19"/>
  <c r="Y54" i="19"/>
  <c r="AE54" i="19"/>
  <c r="AE44" i="19"/>
  <c r="AK34" i="19"/>
  <c r="AE34" i="19"/>
  <c r="S24" i="19"/>
  <c r="M44" i="19"/>
  <c r="M24" i="19"/>
  <c r="Y24" i="19"/>
  <c r="AK24" i="19"/>
  <c r="S44" i="19"/>
  <c r="S54" i="19"/>
  <c r="AD45" i="1"/>
  <c r="AE45" i="1"/>
  <c r="AC46" i="1" s="1"/>
  <c r="AD55" i="1"/>
  <c r="AE55" i="1"/>
  <c r="Z49" i="19"/>
  <c r="T9" i="19"/>
  <c r="T19" i="19"/>
  <c r="Z39" i="19"/>
  <c r="Z19" i="19"/>
  <c r="Z9" i="19"/>
  <c r="Z29" i="19"/>
  <c r="T39" i="19"/>
  <c r="AF39" i="19"/>
  <c r="AF29" i="19"/>
  <c r="AL9" i="19"/>
  <c r="N49" i="19"/>
  <c r="AF9" i="19"/>
  <c r="T29" i="19"/>
  <c r="N39" i="19"/>
  <c r="N29" i="19"/>
  <c r="AL39" i="19"/>
  <c r="AF19" i="19"/>
  <c r="AF49" i="19"/>
  <c r="AL29" i="19"/>
  <c r="N19" i="19"/>
  <c r="AL19" i="19"/>
  <c r="T49" i="19"/>
  <c r="AL49" i="19"/>
  <c r="AH34" i="1"/>
  <c r="N9" i="19"/>
  <c r="AM29" i="19"/>
  <c r="O19" i="19"/>
  <c r="AA49" i="19"/>
  <c r="AM9" i="19"/>
  <c r="U9" i="19"/>
  <c r="O39" i="19"/>
  <c r="U29" i="19"/>
  <c r="O29" i="19"/>
  <c r="U49" i="19"/>
  <c r="U19" i="19"/>
  <c r="AG19" i="19"/>
  <c r="U39" i="19"/>
  <c r="O49" i="19"/>
  <c r="AA39" i="19"/>
  <c r="AG49" i="19"/>
  <c r="AG39" i="19"/>
  <c r="AM49" i="19"/>
  <c r="AG9" i="19"/>
  <c r="O9" i="19"/>
  <c r="AA9" i="19"/>
  <c r="AA29" i="19"/>
  <c r="AH35" i="1"/>
  <c r="AM19" i="19"/>
  <c r="AA19" i="19"/>
  <c r="AG29" i="19"/>
  <c r="AM39" i="19"/>
  <c r="AD38" i="1"/>
  <c r="AE38" i="1"/>
  <c r="AF54" i="1"/>
  <c r="AG55" i="1"/>
  <c r="AF55" i="1" s="1"/>
  <c r="AF30" i="1"/>
  <c r="AG31" i="1"/>
  <c r="AF18" i="1"/>
  <c r="AG19" i="1"/>
  <c r="AF24" i="1"/>
  <c r="AG25" i="1"/>
  <c r="AF48" i="1"/>
  <c r="AG49" i="1"/>
  <c r="AG13" i="1"/>
  <c r="AF12" i="1"/>
  <c r="AG61" i="1"/>
  <c r="AF61" i="1" s="1"/>
  <c r="AF60" i="1"/>
  <c r="AG37" i="1"/>
  <c r="AF36" i="1"/>
  <c r="AF42" i="1"/>
  <c r="AG43" i="1"/>
  <c r="AD46" i="1" l="1"/>
  <c r="AE46" i="1"/>
  <c r="AC47" i="1" s="1"/>
  <c r="AE20" i="1"/>
  <c r="AC21" i="1" s="1"/>
  <c r="AD20" i="1"/>
  <c r="AD27" i="1"/>
  <c r="AE27" i="1"/>
  <c r="AC28" i="1" s="1"/>
  <c r="AG38" i="1"/>
  <c r="AF38" i="1" s="1"/>
  <c r="AF37" i="1"/>
  <c r="J38" i="19"/>
  <c r="AB8" i="19"/>
  <c r="J8" i="19"/>
  <c r="AB48" i="19"/>
  <c r="AH8" i="19"/>
  <c r="P48" i="19"/>
  <c r="V18" i="19"/>
  <c r="AH24" i="1"/>
  <c r="P18" i="19"/>
  <c r="J48" i="19"/>
  <c r="AH48" i="19"/>
  <c r="AH18" i="19"/>
  <c r="AB28" i="19"/>
  <c r="P28" i="19"/>
  <c r="V28" i="19"/>
  <c r="V38" i="19"/>
  <c r="P38" i="19"/>
  <c r="AH38" i="19"/>
  <c r="J28" i="19"/>
  <c r="V48" i="19"/>
  <c r="AB18" i="19"/>
  <c r="V8" i="19"/>
  <c r="P8" i="19"/>
  <c r="J18" i="19"/>
  <c r="AH28" i="19"/>
  <c r="AB38" i="19"/>
  <c r="AH24" i="19"/>
  <c r="V34" i="19"/>
  <c r="AH14" i="19"/>
  <c r="J14" i="19"/>
  <c r="V44" i="19"/>
  <c r="V14" i="19"/>
  <c r="AH34" i="19"/>
  <c r="J24" i="19"/>
  <c r="J34" i="19"/>
  <c r="V24" i="19"/>
  <c r="P24" i="19"/>
  <c r="AB34" i="19"/>
  <c r="AH54" i="19"/>
  <c r="V54" i="19"/>
  <c r="J44" i="19"/>
  <c r="J54" i="19"/>
  <c r="AH44" i="19"/>
  <c r="AB44" i="19"/>
  <c r="AB24" i="19"/>
  <c r="AH60" i="1"/>
  <c r="AB14" i="19"/>
  <c r="P34" i="19"/>
  <c r="P44" i="19"/>
  <c r="P14" i="19"/>
  <c r="P54" i="19"/>
  <c r="AB54" i="19"/>
  <c r="AF19" i="1"/>
  <c r="AG20" i="1"/>
  <c r="AF20" i="1" s="1"/>
  <c r="AG21" i="1"/>
  <c r="AF21" i="1" s="1"/>
  <c r="AB30" i="19"/>
  <c r="P20" i="19"/>
  <c r="J40" i="19"/>
  <c r="V10" i="19"/>
  <c r="P10" i="19"/>
  <c r="AB10" i="19"/>
  <c r="P50" i="19"/>
  <c r="AH20" i="19"/>
  <c r="P40" i="19"/>
  <c r="AH30" i="19"/>
  <c r="V20" i="19"/>
  <c r="AH40" i="19"/>
  <c r="AB50" i="19"/>
  <c r="V50" i="19"/>
  <c r="AH36" i="1"/>
  <c r="AB40" i="19"/>
  <c r="J10" i="19"/>
  <c r="V30" i="19"/>
  <c r="AB20" i="19"/>
  <c r="AH10" i="19"/>
  <c r="P30" i="19"/>
  <c r="J50" i="19"/>
  <c r="V40" i="19"/>
  <c r="AH50" i="19"/>
  <c r="J20" i="19"/>
  <c r="J30" i="19"/>
  <c r="W54" i="19"/>
  <c r="AI54" i="19"/>
  <c r="K54" i="19"/>
  <c r="AI24" i="19"/>
  <c r="AH61" i="1"/>
  <c r="Q14" i="19"/>
  <c r="W14" i="19"/>
  <c r="Q34" i="19"/>
  <c r="W34" i="19"/>
  <c r="W44" i="19"/>
  <c r="AC44" i="19"/>
  <c r="AI34" i="19"/>
  <c r="AC34" i="19"/>
  <c r="AC24" i="19"/>
  <c r="Q24" i="19"/>
  <c r="Q44" i="19"/>
  <c r="Q54" i="19"/>
  <c r="W24" i="19"/>
  <c r="AI14" i="19"/>
  <c r="K44" i="19"/>
  <c r="K24" i="19"/>
  <c r="AC54" i="19"/>
  <c r="K34" i="19"/>
  <c r="AC14" i="19"/>
  <c r="K14" i="19"/>
  <c r="AI44" i="19"/>
  <c r="V47" i="19"/>
  <c r="AB27" i="19"/>
  <c r="AH7" i="19"/>
  <c r="AB7" i="19"/>
  <c r="V37" i="19"/>
  <c r="AH17" i="19"/>
  <c r="AB17" i="19"/>
  <c r="AH37" i="19"/>
  <c r="AH18" i="1"/>
  <c r="P17" i="19"/>
  <c r="J47" i="19"/>
  <c r="AH27" i="19"/>
  <c r="AH47" i="19"/>
  <c r="P47" i="19"/>
  <c r="J27" i="19"/>
  <c r="P7" i="19"/>
  <c r="P27" i="19"/>
  <c r="J7" i="19"/>
  <c r="V17" i="19"/>
  <c r="P37" i="19"/>
  <c r="J37" i="19"/>
  <c r="J17" i="19"/>
  <c r="V27" i="19"/>
  <c r="V7" i="19"/>
  <c r="AB37" i="19"/>
  <c r="AB47" i="19"/>
  <c r="AF25" i="1"/>
  <c r="AG26" i="1"/>
  <c r="P6" i="19"/>
  <c r="P16" i="19"/>
  <c r="AH12" i="1"/>
  <c r="V46" i="19"/>
  <c r="J6" i="19"/>
  <c r="P26" i="19"/>
  <c r="AH6" i="19"/>
  <c r="J46" i="19"/>
  <c r="V36" i="19"/>
  <c r="AB46" i="19"/>
  <c r="AB36" i="19"/>
  <c r="AH36" i="19"/>
  <c r="P36" i="19"/>
  <c r="AB26" i="19"/>
  <c r="AH26" i="19"/>
  <c r="AB6" i="19"/>
  <c r="P46" i="19"/>
  <c r="J16" i="19"/>
  <c r="J36" i="19"/>
  <c r="AH16" i="19"/>
  <c r="V16" i="19"/>
  <c r="V26" i="19"/>
  <c r="AH46" i="19"/>
  <c r="J26" i="19"/>
  <c r="V6" i="19"/>
  <c r="AB16" i="19"/>
  <c r="AF31" i="1"/>
  <c r="AG33" i="1"/>
  <c r="AF33" i="1" s="1"/>
  <c r="AG32" i="1"/>
  <c r="AF32" i="1" s="1"/>
  <c r="AF13" i="1"/>
  <c r="AG14" i="1"/>
  <c r="AF14" i="1" s="1"/>
  <c r="V9" i="19"/>
  <c r="V39" i="19"/>
  <c r="AB29" i="19"/>
  <c r="AH39" i="19"/>
  <c r="AH9" i="19"/>
  <c r="AH29" i="19"/>
  <c r="V49" i="19"/>
  <c r="AB9" i="19"/>
  <c r="J39" i="19"/>
  <c r="P9" i="19"/>
  <c r="P29" i="19"/>
  <c r="P39" i="19"/>
  <c r="AB19" i="19"/>
  <c r="J19" i="19"/>
  <c r="AH30" i="1"/>
  <c r="J49" i="19"/>
  <c r="AB39" i="19"/>
  <c r="J9" i="19"/>
  <c r="P49" i="19"/>
  <c r="AH49" i="19"/>
  <c r="V29" i="19"/>
  <c r="P19" i="19"/>
  <c r="J29" i="19"/>
  <c r="AH19" i="19"/>
  <c r="AB49" i="19"/>
  <c r="V19" i="19"/>
  <c r="AG44" i="1"/>
  <c r="AF43" i="1"/>
  <c r="AG51" i="1"/>
  <c r="AF51" i="1" s="1"/>
  <c r="AF49" i="1"/>
  <c r="AG50" i="1"/>
  <c r="AF50" i="1" s="1"/>
  <c r="AC53" i="19"/>
  <c r="W23" i="19"/>
  <c r="AI53" i="19"/>
  <c r="AC13" i="19"/>
  <c r="K43" i="19"/>
  <c r="W13" i="19"/>
  <c r="Q23" i="19"/>
  <c r="AH55" i="1"/>
  <c r="K13" i="19"/>
  <c r="AI43" i="19"/>
  <c r="K33" i="19"/>
  <c r="W43" i="19"/>
  <c r="AI13" i="19"/>
  <c r="Q43" i="19"/>
  <c r="AI23" i="19"/>
  <c r="Q53" i="19"/>
  <c r="K53" i="19"/>
  <c r="AC33" i="19"/>
  <c r="Q33" i="19"/>
  <c r="AC43" i="19"/>
  <c r="AI33" i="19"/>
  <c r="W33" i="19"/>
  <c r="Q13" i="19"/>
  <c r="W53" i="19"/>
  <c r="AC23" i="19"/>
  <c r="K23" i="19"/>
  <c r="AB11" i="19"/>
  <c r="P21" i="19"/>
  <c r="V31" i="19"/>
  <c r="P31" i="19"/>
  <c r="P41" i="19"/>
  <c r="V21" i="19"/>
  <c r="P11" i="19"/>
  <c r="V51" i="19"/>
  <c r="V11" i="19"/>
  <c r="J31" i="19"/>
  <c r="AB21" i="19"/>
  <c r="AB31" i="19"/>
  <c r="AH11" i="19"/>
  <c r="P51" i="19"/>
  <c r="V41" i="19"/>
  <c r="AB41" i="19"/>
  <c r="AH21" i="19"/>
  <c r="J41" i="19"/>
  <c r="AH51" i="19"/>
  <c r="AH31" i="19"/>
  <c r="AH42" i="1"/>
  <c r="J21" i="19"/>
  <c r="J11" i="19"/>
  <c r="J51" i="19"/>
  <c r="AH41" i="19"/>
  <c r="AB51" i="19"/>
  <c r="AH12" i="19"/>
  <c r="AH32" i="19"/>
  <c r="P22" i="19"/>
  <c r="P32" i="19"/>
  <c r="AH42" i="19"/>
  <c r="J12" i="19"/>
  <c r="J22" i="19"/>
  <c r="AB22" i="19"/>
  <c r="J32" i="19"/>
  <c r="P12" i="19"/>
  <c r="AH22" i="19"/>
  <c r="J42" i="19"/>
  <c r="V42" i="19"/>
  <c r="P42" i="19"/>
  <c r="AB32" i="19"/>
  <c r="AB12" i="19"/>
  <c r="V12" i="19"/>
  <c r="V22" i="19"/>
  <c r="P52" i="19"/>
  <c r="V32" i="19"/>
  <c r="V52" i="19"/>
  <c r="J52" i="19"/>
  <c r="AH48" i="1"/>
  <c r="AH52" i="19"/>
  <c r="AB52" i="19"/>
  <c r="AB42" i="19"/>
  <c r="AB33" i="19"/>
  <c r="AB13" i="19"/>
  <c r="AH13" i="19"/>
  <c r="V43" i="19"/>
  <c r="P33" i="19"/>
  <c r="J23" i="19"/>
  <c r="J43" i="19"/>
  <c r="P23" i="19"/>
  <c r="P43" i="19"/>
  <c r="P53" i="19"/>
  <c r="AH33" i="19"/>
  <c r="P13" i="19"/>
  <c r="AH23" i="19"/>
  <c r="J53" i="19"/>
  <c r="V23" i="19"/>
  <c r="AB53" i="19"/>
  <c r="V33" i="19"/>
  <c r="AH53" i="19"/>
  <c r="AB23" i="19"/>
  <c r="J13" i="19"/>
  <c r="AH54" i="1"/>
  <c r="J33" i="19"/>
  <c r="AH43" i="19"/>
  <c r="V13" i="19"/>
  <c r="AB43" i="19"/>
  <c r="V53" i="19"/>
  <c r="AD28" i="1" l="1"/>
  <c r="AE28" i="1"/>
  <c r="AE21" i="1"/>
  <c r="AD21" i="1"/>
  <c r="AK7" i="19" s="1"/>
  <c r="AE47" i="1"/>
  <c r="AD47" i="1"/>
  <c r="AD26" i="19"/>
  <c r="X16" i="19"/>
  <c r="X26" i="19"/>
  <c r="AJ6" i="19"/>
  <c r="L36" i="19"/>
  <c r="X46" i="19"/>
  <c r="R46" i="19"/>
  <c r="AD16" i="19"/>
  <c r="AJ36" i="19"/>
  <c r="L46" i="19"/>
  <c r="L16" i="19"/>
  <c r="L6" i="19"/>
  <c r="R6" i="19"/>
  <c r="AD6" i="19"/>
  <c r="X6" i="19"/>
  <c r="L26" i="19"/>
  <c r="AD36" i="19"/>
  <c r="R36" i="19"/>
  <c r="AD46" i="19"/>
  <c r="AH14" i="1"/>
  <c r="AJ46" i="19"/>
  <c r="R16" i="19"/>
  <c r="AJ16" i="19"/>
  <c r="AJ26" i="19"/>
  <c r="R26" i="19"/>
  <c r="X36" i="19"/>
  <c r="AC28" i="19"/>
  <c r="AI8" i="19"/>
  <c r="AI28" i="19"/>
  <c r="AH25" i="1"/>
  <c r="Q18" i="19"/>
  <c r="AI38" i="19"/>
  <c r="Q38" i="19"/>
  <c r="AC38" i="19"/>
  <c r="W8" i="19"/>
  <c r="AC18" i="19"/>
  <c r="Q28" i="19"/>
  <c r="AI48" i="19"/>
  <c r="AC8" i="19"/>
  <c r="K18" i="19"/>
  <c r="W48" i="19"/>
  <c r="K8" i="19"/>
  <c r="K28" i="19"/>
  <c r="AC48" i="19"/>
  <c r="W38" i="19"/>
  <c r="W18" i="19"/>
  <c r="K48" i="19"/>
  <c r="K38" i="19"/>
  <c r="W28" i="19"/>
  <c r="AI18" i="19"/>
  <c r="Q48" i="19"/>
  <c r="Q8" i="19"/>
  <c r="L27" i="19"/>
  <c r="L17" i="19"/>
  <c r="AJ47" i="19"/>
  <c r="X17" i="19"/>
  <c r="AH20" i="1"/>
  <c r="X47" i="19"/>
  <c r="R27" i="19"/>
  <c r="X7" i="19"/>
  <c r="L37" i="19"/>
  <c r="L47" i="19"/>
  <c r="X27" i="19"/>
  <c r="AD17" i="19"/>
  <c r="AD47" i="19"/>
  <c r="AJ17" i="19"/>
  <c r="R37" i="19"/>
  <c r="AJ7" i="19"/>
  <c r="AD7" i="19"/>
  <c r="AD37" i="19"/>
  <c r="X37" i="19"/>
  <c r="L7" i="19"/>
  <c r="R7" i="19"/>
  <c r="R17" i="19"/>
  <c r="AJ27" i="19"/>
  <c r="AD27" i="19"/>
  <c r="AJ37" i="19"/>
  <c r="R47" i="19"/>
  <c r="AJ52" i="19"/>
  <c r="X22" i="19"/>
  <c r="L32" i="19"/>
  <c r="AJ42" i="19"/>
  <c r="AD12" i="19"/>
  <c r="X32" i="19"/>
  <c r="R42" i="19"/>
  <c r="AJ22" i="19"/>
  <c r="R22" i="19"/>
  <c r="AJ32" i="19"/>
  <c r="R12" i="19"/>
  <c r="AD42" i="19"/>
  <c r="AJ12" i="19"/>
  <c r="X52" i="19"/>
  <c r="X12" i="19"/>
  <c r="L22" i="19"/>
  <c r="L12" i="19"/>
  <c r="L42" i="19"/>
  <c r="AH50" i="1"/>
  <c r="R52" i="19"/>
  <c r="L52" i="19"/>
  <c r="AD22" i="19"/>
  <c r="R32" i="19"/>
  <c r="X42" i="19"/>
  <c r="AD32" i="19"/>
  <c r="AD52" i="19"/>
  <c r="Q6" i="19"/>
  <c r="W36" i="19"/>
  <c r="W6" i="19"/>
  <c r="Q26" i="19"/>
  <c r="W16" i="19"/>
  <c r="AI16" i="19"/>
  <c r="AH13" i="1"/>
  <c r="AC26" i="19"/>
  <c r="AI6" i="19"/>
  <c r="W46" i="19"/>
  <c r="AI46" i="19"/>
  <c r="AC6" i="19"/>
  <c r="K46" i="19"/>
  <c r="Q16" i="19"/>
  <c r="Q46" i="19"/>
  <c r="AI26" i="19"/>
  <c r="AC36" i="19"/>
  <c r="AC16" i="19"/>
  <c r="K36" i="19"/>
  <c r="AC46" i="19"/>
  <c r="K26" i="19"/>
  <c r="K16" i="19"/>
  <c r="AI36" i="19"/>
  <c r="K6" i="19"/>
  <c r="Q36" i="19"/>
  <c r="W26" i="19"/>
  <c r="AI7" i="19"/>
  <c r="K47" i="19"/>
  <c r="AC17" i="19"/>
  <c r="AI17" i="19"/>
  <c r="AI37" i="19"/>
  <c r="W37" i="19"/>
  <c r="Q17" i="19"/>
  <c r="K7" i="19"/>
  <c r="AC27" i="19"/>
  <c r="Q7" i="19"/>
  <c r="W27" i="19"/>
  <c r="W17" i="19"/>
  <c r="AI27" i="19"/>
  <c r="W7" i="19"/>
  <c r="AC37" i="19"/>
  <c r="Q47" i="19"/>
  <c r="W47" i="19"/>
  <c r="K17" i="19"/>
  <c r="AH19" i="1"/>
  <c r="Q27" i="19"/>
  <c r="Q37" i="19"/>
  <c r="K27" i="19"/>
  <c r="AC47" i="19"/>
  <c r="AI47" i="19"/>
  <c r="AC7" i="19"/>
  <c r="K37" i="19"/>
  <c r="M52" i="19"/>
  <c r="S32" i="19"/>
  <c r="Y22" i="19"/>
  <c r="AE12" i="19"/>
  <c r="AE42" i="19"/>
  <c r="S42" i="19"/>
  <c r="M22" i="19"/>
  <c r="AE52" i="19"/>
  <c r="Y32" i="19"/>
  <c r="AK12" i="19"/>
  <c r="M12" i="19"/>
  <c r="Y42" i="19"/>
  <c r="AE22" i="19"/>
  <c r="AK52" i="19"/>
  <c r="AK22" i="19"/>
  <c r="AK32" i="19"/>
  <c r="AK42" i="19"/>
  <c r="M32" i="19"/>
  <c r="S12" i="19"/>
  <c r="Y52" i="19"/>
  <c r="S22" i="19"/>
  <c r="S52" i="19"/>
  <c r="Y12" i="19"/>
  <c r="AH51" i="1"/>
  <c r="M42" i="19"/>
  <c r="AE32" i="19"/>
  <c r="AK9" i="19"/>
  <c r="AK39" i="19"/>
  <c r="M49" i="19"/>
  <c r="AE29" i="19"/>
  <c r="M9" i="19"/>
  <c r="Y29" i="19"/>
  <c r="M29" i="19"/>
  <c r="AK49" i="19"/>
  <c r="M19" i="19"/>
  <c r="Y19" i="19"/>
  <c r="Y49" i="19"/>
  <c r="AE49" i="19"/>
  <c r="AE19" i="19"/>
  <c r="AE9" i="19"/>
  <c r="S9" i="19"/>
  <c r="AK29" i="19"/>
  <c r="S39" i="19"/>
  <c r="M39" i="19"/>
  <c r="S19" i="19"/>
  <c r="AE39" i="19"/>
  <c r="S49" i="19"/>
  <c r="Y9" i="19"/>
  <c r="AH33" i="1"/>
  <c r="S29" i="19"/>
  <c r="AK19" i="19"/>
  <c r="Y39" i="19"/>
  <c r="AH43" i="1"/>
  <c r="AC41" i="19"/>
  <c r="AC21" i="19"/>
  <c r="AI11" i="19"/>
  <c r="W21" i="19"/>
  <c r="W41" i="19"/>
  <c r="AC51" i="19"/>
  <c r="AI41" i="19"/>
  <c r="AC11" i="19"/>
  <c r="Q11" i="19"/>
  <c r="AC31" i="19"/>
  <c r="AI21" i="19"/>
  <c r="K41" i="19"/>
  <c r="AI51" i="19"/>
  <c r="W11" i="19"/>
  <c r="Q41" i="19"/>
  <c r="K51" i="19"/>
  <c r="Q31" i="19"/>
  <c r="K21" i="19"/>
  <c r="Q21" i="19"/>
  <c r="K31" i="19"/>
  <c r="W31" i="19"/>
  <c r="W51" i="19"/>
  <c r="Q51" i="19"/>
  <c r="AI31" i="19"/>
  <c r="K11" i="19"/>
  <c r="AC39" i="19"/>
  <c r="AC9" i="19"/>
  <c r="AC49" i="19"/>
  <c r="W49" i="19"/>
  <c r="AH31" i="1"/>
  <c r="Q9" i="19"/>
  <c r="Q29" i="19"/>
  <c r="W29" i="19"/>
  <c r="K9" i="19"/>
  <c r="AI49" i="19"/>
  <c r="Q19" i="19"/>
  <c r="K29" i="19"/>
  <c r="AI19" i="19"/>
  <c r="AI29" i="19"/>
  <c r="K49" i="19"/>
  <c r="K19" i="19"/>
  <c r="W9" i="19"/>
  <c r="W19" i="19"/>
  <c r="AI9" i="19"/>
  <c r="AI39" i="19"/>
  <c r="K39" i="19"/>
  <c r="W39" i="19"/>
  <c r="AC29" i="19"/>
  <c r="Q39" i="19"/>
  <c r="AC19" i="19"/>
  <c r="Q49" i="19"/>
  <c r="AF44" i="1"/>
  <c r="AG45" i="1"/>
  <c r="AH32" i="1"/>
  <c r="L49" i="19"/>
  <c r="R29" i="19"/>
  <c r="AJ39" i="19"/>
  <c r="X9" i="19"/>
  <c r="R49" i="19"/>
  <c r="R39" i="19"/>
  <c r="R19" i="19"/>
  <c r="X39" i="19"/>
  <c r="AJ9" i="19"/>
  <c r="AJ19" i="19"/>
  <c r="AJ49" i="19"/>
  <c r="AD19" i="19"/>
  <c r="AD39" i="19"/>
  <c r="AJ29" i="19"/>
  <c r="X19" i="19"/>
  <c r="L39" i="19"/>
  <c r="R9" i="19"/>
  <c r="AD49" i="19"/>
  <c r="L9" i="19"/>
  <c r="X29" i="19"/>
  <c r="X49" i="19"/>
  <c r="AD9" i="19"/>
  <c r="AD29" i="19"/>
  <c r="L19" i="19"/>
  <c r="L29" i="19"/>
  <c r="Q30" i="19"/>
  <c r="W10" i="19"/>
  <c r="K10" i="19"/>
  <c r="W50" i="19"/>
  <c r="Q40" i="19"/>
  <c r="W30" i="19"/>
  <c r="K20" i="19"/>
  <c r="AI40" i="19"/>
  <c r="AH37" i="1"/>
  <c r="Q50" i="19"/>
  <c r="K30" i="19"/>
  <c r="K40" i="19"/>
  <c r="AC40" i="19"/>
  <c r="Q20" i="19"/>
  <c r="AC10" i="19"/>
  <c r="AC50" i="19"/>
  <c r="AI50" i="19"/>
  <c r="W40" i="19"/>
  <c r="W20" i="19"/>
  <c r="K50" i="19"/>
  <c r="AI20" i="19"/>
  <c r="AI30" i="19"/>
  <c r="AI10" i="19"/>
  <c r="AC30" i="19"/>
  <c r="AC20" i="19"/>
  <c r="Q10" i="19"/>
  <c r="AI52" i="19"/>
  <c r="Q42" i="19"/>
  <c r="AI22" i="19"/>
  <c r="K42" i="19"/>
  <c r="W32" i="19"/>
  <c r="AI42" i="19"/>
  <c r="AI12" i="19"/>
  <c r="K52" i="19"/>
  <c r="AC42" i="19"/>
  <c r="Q22" i="19"/>
  <c r="K22" i="19"/>
  <c r="Q32" i="19"/>
  <c r="K32" i="19"/>
  <c r="AH49" i="1"/>
  <c r="W12" i="19"/>
  <c r="Q12" i="19"/>
  <c r="AC32" i="19"/>
  <c r="Q52" i="19"/>
  <c r="AC22" i="19"/>
  <c r="W42" i="19"/>
  <c r="W52" i="19"/>
  <c r="AC52" i="19"/>
  <c r="W22" i="19"/>
  <c r="K12" i="19"/>
  <c r="AC12" i="19"/>
  <c r="AI32" i="19"/>
  <c r="AG27" i="1"/>
  <c r="AF27" i="1" s="1"/>
  <c r="AF26" i="1"/>
  <c r="AG28" i="1"/>
  <c r="AF28" i="1" s="1"/>
  <c r="S47" i="19"/>
  <c r="AK47" i="19"/>
  <c r="AK17" i="19"/>
  <c r="Y17" i="19"/>
  <c r="AE17" i="19"/>
  <c r="Y37" i="19"/>
  <c r="Y7" i="19"/>
  <c r="M7" i="19"/>
  <c r="M37" i="19"/>
  <c r="M27" i="19"/>
  <c r="AE27" i="19"/>
  <c r="Y47" i="19"/>
  <c r="S27" i="19"/>
  <c r="AD40" i="19"/>
  <c r="R10" i="19"/>
  <c r="AH38" i="1"/>
  <c r="R20" i="19"/>
  <c r="AJ10" i="19"/>
  <c r="L30" i="19"/>
  <c r="L40" i="19"/>
  <c r="AD50" i="19"/>
  <c r="AJ40" i="19"/>
  <c r="AJ30" i="19"/>
  <c r="AD10" i="19"/>
  <c r="AD20" i="19"/>
  <c r="AJ20" i="19"/>
  <c r="X40" i="19"/>
  <c r="L10" i="19"/>
  <c r="X20" i="19"/>
  <c r="R30" i="19"/>
  <c r="R40" i="19"/>
  <c r="L20" i="19"/>
  <c r="X30" i="19"/>
  <c r="AD30" i="19"/>
  <c r="R50" i="19"/>
  <c r="L50" i="19"/>
  <c r="AJ50" i="19"/>
  <c r="X10" i="19"/>
  <c r="X50" i="19"/>
  <c r="S37" i="19" l="1"/>
  <c r="S7" i="19"/>
  <c r="AK27" i="19"/>
  <c r="M47" i="19"/>
  <c r="Y27" i="19"/>
  <c r="M17" i="19"/>
  <c r="AH21" i="1"/>
  <c r="S17" i="19"/>
  <c r="AK37" i="19"/>
  <c r="AE7" i="19"/>
  <c r="AE47" i="19"/>
  <c r="AE37" i="19"/>
  <c r="AF38" i="19"/>
  <c r="T8" i="19"/>
  <c r="AF28" i="19"/>
  <c r="AF48" i="19"/>
  <c r="N28" i="19"/>
  <c r="Z38" i="19"/>
  <c r="T28" i="19"/>
  <c r="T48" i="19"/>
  <c r="Z28" i="19"/>
  <c r="AL18" i="19"/>
  <c r="T18" i="19"/>
  <c r="AF8" i="19"/>
  <c r="AL28" i="19"/>
  <c r="AH28" i="1"/>
  <c r="Z8" i="19"/>
  <c r="N38" i="19"/>
  <c r="Z18" i="19"/>
  <c r="AL38" i="19"/>
  <c r="Z48" i="19"/>
  <c r="AL8" i="19"/>
  <c r="T38" i="19"/>
  <c r="N48" i="19"/>
  <c r="AL48" i="19"/>
  <c r="N8" i="19"/>
  <c r="AF18" i="19"/>
  <c r="N18" i="19"/>
  <c r="AF45" i="1"/>
  <c r="AG47" i="1"/>
  <c r="AF47" i="1" s="1"/>
  <c r="AG46" i="1"/>
  <c r="AF46" i="1" s="1"/>
  <c r="AK28" i="19"/>
  <c r="S38" i="19"/>
  <c r="AK8" i="19"/>
  <c r="AE28" i="19"/>
  <c r="S8" i="19"/>
  <c r="M8" i="19"/>
  <c r="Y38" i="19"/>
  <c r="AK48" i="19"/>
  <c r="AE38" i="19"/>
  <c r="M28" i="19"/>
  <c r="M18" i="19"/>
  <c r="AK18" i="19"/>
  <c r="Y48" i="19"/>
  <c r="Y18" i="19"/>
  <c r="S48" i="19"/>
  <c r="M48" i="19"/>
  <c r="Y8" i="19"/>
  <c r="S28" i="19"/>
  <c r="Y28" i="19"/>
  <c r="M38" i="19"/>
  <c r="AE18" i="19"/>
  <c r="AK38" i="19"/>
  <c r="S18" i="19"/>
  <c r="AE48" i="19"/>
  <c r="AH27" i="1"/>
  <c r="AE8" i="19"/>
  <c r="L11" i="19"/>
  <c r="AD11" i="19"/>
  <c r="AD51" i="19"/>
  <c r="L21" i="19"/>
  <c r="AD41" i="19"/>
  <c r="X51" i="19"/>
  <c r="R31" i="19"/>
  <c r="AJ11" i="19"/>
  <c r="R41" i="19"/>
  <c r="R11" i="19"/>
  <c r="AD21" i="19"/>
  <c r="AD31" i="19"/>
  <c r="AJ51" i="19"/>
  <c r="AJ21" i="19"/>
  <c r="L31" i="19"/>
  <c r="X11" i="19"/>
  <c r="R51" i="19"/>
  <c r="X31" i="19"/>
  <c r="R21" i="19"/>
  <c r="X21" i="19"/>
  <c r="AH44" i="1"/>
  <c r="AJ41" i="19"/>
  <c r="X41" i="19"/>
  <c r="L41" i="19"/>
  <c r="L51" i="19"/>
  <c r="AJ31" i="19"/>
  <c r="AD8" i="19"/>
  <c r="X8" i="19"/>
  <c r="X18" i="19"/>
  <c r="X28" i="19"/>
  <c r="AJ38" i="19"/>
  <c r="AD38" i="19"/>
  <c r="R18" i="19"/>
  <c r="R38" i="19"/>
  <c r="AD28" i="19"/>
  <c r="L48" i="19"/>
  <c r="R8" i="19"/>
  <c r="R28" i="19"/>
  <c r="R48" i="19"/>
  <c r="AD48" i="19"/>
  <c r="AD18" i="19"/>
  <c r="X38" i="19"/>
  <c r="L18" i="19"/>
  <c r="X48" i="19"/>
  <c r="L8" i="19"/>
  <c r="AJ8" i="19"/>
  <c r="AJ48" i="19"/>
  <c r="AH26" i="1"/>
  <c r="L38" i="19"/>
  <c r="L28" i="19"/>
  <c r="AJ18" i="19"/>
  <c r="AJ28" i="19"/>
  <c r="T51" i="19" l="1"/>
  <c r="Z51" i="19"/>
  <c r="T41" i="19"/>
  <c r="T31" i="19"/>
  <c r="AL11" i="19"/>
  <c r="N11" i="19"/>
  <c r="Z11" i="19"/>
  <c r="N41" i="19"/>
  <c r="Z31" i="19"/>
  <c r="AH46" i="1"/>
  <c r="AF51" i="19"/>
  <c r="N51" i="19"/>
  <c r="T21" i="19"/>
  <c r="N31" i="19"/>
  <c r="AF21" i="19"/>
  <c r="AF31" i="19"/>
  <c r="Z41" i="19"/>
  <c r="N21" i="19"/>
  <c r="T11" i="19"/>
  <c r="AL21" i="19"/>
  <c r="AL31" i="19"/>
  <c r="Z21" i="19"/>
  <c r="AL51" i="19"/>
  <c r="AL41" i="19"/>
  <c r="AF41" i="19"/>
  <c r="AF11" i="19"/>
  <c r="U31" i="19"/>
  <c r="AH47" i="1"/>
  <c r="AA31" i="19"/>
  <c r="AM51" i="19"/>
  <c r="O51" i="19"/>
  <c r="AG11" i="19"/>
  <c r="AM11" i="19"/>
  <c r="AM21" i="19"/>
  <c r="O21" i="19"/>
  <c r="AG41" i="19"/>
  <c r="U41" i="19"/>
  <c r="AG51" i="19"/>
  <c r="O41" i="19"/>
  <c r="AA41" i="19"/>
  <c r="AA21" i="19"/>
  <c r="O31" i="19"/>
  <c r="AA11" i="19"/>
  <c r="AM31" i="19"/>
  <c r="O11" i="19"/>
  <c r="U51" i="19"/>
  <c r="U21" i="19"/>
  <c r="U11" i="19"/>
  <c r="AA51" i="19"/>
  <c r="AG31" i="19"/>
  <c r="AM41" i="19"/>
  <c r="AG21" i="19"/>
  <c r="S21" i="19"/>
  <c r="AH45" i="1"/>
  <c r="AE51" i="19"/>
  <c r="Y21" i="19"/>
  <c r="S51" i="19"/>
  <c r="S41" i="19"/>
  <c r="Y11" i="19"/>
  <c r="M11" i="19"/>
  <c r="AE21" i="19"/>
  <c r="AE11" i="19"/>
  <c r="AK21" i="19"/>
  <c r="AK51" i="19"/>
  <c r="M31" i="19"/>
  <c r="S31" i="19"/>
  <c r="AK41" i="19"/>
  <c r="M21" i="19"/>
  <c r="AK11" i="19"/>
  <c r="S11" i="19"/>
  <c r="Y51" i="19"/>
  <c r="AE41" i="19"/>
  <c r="Y31" i="19"/>
  <c r="AE31" i="19"/>
  <c r="Y41" i="19"/>
  <c r="M51" i="19"/>
  <c r="M41" i="19"/>
  <c r="AK31"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<sst xmlns="http://schemas.openxmlformats.org/spreadsheetml/2006/main" count="923" uniqueCount="487">
  <si>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</si>
  <si>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</si>
  <si>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</si>
  <si>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</si>
  <si>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</si>
  <si>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</si>
  <si>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</si>
  <si>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</si>
  <si>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</si>
  <si>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</si>
  <si>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</si>
  <si>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</si>
  <si>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</si>
  <si>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</si>
  <si>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</si>
  <si>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</si>
  <si>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</si>
  <si>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</si>
  <si>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</si>
  <si>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</si>
  <si>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</si>
  <si>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</si>
  <si>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</si>
  <si>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</si>
  <si>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</si>
  <si>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</si>
  <si>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</si>
  <si>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</si>
  <si>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</si>
  <si>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</si>
  <si>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</si>
  <si>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</si>
  <si>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</si>
  <si>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</si>
  <si>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</si>
  <si>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</si>
  <si>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</si>
  <si>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</si>
  <si>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</si>
  <si>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</si>
  <si>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</si>
  <si>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</si>
  <si>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</si>
  <si>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</si>
  <si>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</si>
  <si>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</si>
  <si>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</si>
  <si>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</si>
  <si>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</si>
  <si>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</si>
  <si>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</si>
  <si>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</si>
  <si>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</si>
  <si>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</si>
  <si>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</si>
  <si>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</si>
  <si>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</si>
  <si>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</si>
  <si>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</si>
  <si>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</si>
  <si>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</si>
  <si>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</si>
  <si>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</si>
  <si>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</si>
  <si>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</si>
  <si>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</si>
  <si>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</si>
  <si>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</si>
  <si>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</si>
  <si>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</si>
  <si>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</si>
  <si>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</si>
  <si>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</si>
  <si>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</si>
  <si>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</si>
  <si>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</si>
  <si>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</si>
  <si>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</si>
  <si>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</si>
  <si>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</si>
  <si>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</si>
  <si>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</si>
  <si>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</si>
  <si>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</si>
  <si>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</si>
  <si>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</si>
  <si>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</si>
  <si>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</si>
  <si>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</si>
  <si>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</si>
  <si>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</si>
  <si>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</si>
  <si>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</si>
  <si>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</si>
  <si>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</si>
  <si>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</si>
  <si>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</si>
  <si>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</si>
  <si>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</si>
  <si>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</si>
  <si>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</si>
  <si>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</si>
  <si>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</si>
  <si>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</si>
  <si>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</si>
  <si>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</si>
  <si>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</si>
  <si>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</si>
  <si>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</si>
  <si>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</si>
  <si>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</si>
  <si>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</si>
  <si>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</si>
  <si>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</si>
  <si>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</si>
  <si>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</si>
  <si>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</si>
  <si>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</si>
  <si>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</si>
  <si>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</si>
  <si>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</si>
  <si>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</si>
  <si>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</si>
  <si>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</si>
  <si>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</si>
  <si>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</si>
  <si>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</si>
  <si>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</si>
  <si>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</si>
  <si>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</si>
  <si>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</si>
  <si>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</si>
  <si>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</si>
  <si>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</si>
  <si>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</si>
  <si>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</si>
  <si>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</si>
  <si>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</si>
  <si>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</si>
  <si>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</si>
  <si>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</si>
  <si>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</si>
  <si>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</si>
  <si>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</si>
  <si>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</si>
  <si>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</si>
  <si>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</si>
  <si>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</si>
  <si>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</si>
  <si>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</si>
  <si>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</si>
  <si>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</si>
  <si>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</si>
  <si>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</si>
  <si>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</si>
  <si>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</si>
  <si>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</si>
  <si>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</si>
  <si>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</si>
  <si>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</si>
  <si>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</si>
  <si>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</si>
  <si>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</si>
  <si>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</si>
  <si>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</si>
  <si>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</si>
  <si>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</si>
  <si>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</si>
  <si>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</si>
  <si>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</si>
  <si>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</si>
  <si>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</si>
  <si>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</si>
  <si>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</si>
  <si>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</si>
  <si>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</si>
  <si>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</si>
  <si>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</si>
  <si>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</si>
  <si>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</si>
  <si>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</si>
  <si>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</si>
  <si>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</si>
  <si>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</si>
  <si>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</si>
  <si>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</si>
  <si>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</si>
  <si>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</si>
  <si>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</si>
  <si>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</si>
  <si>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</si>
  <si>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</si>
  <si>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</si>
  <si>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</si>
  <si>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</si>
  <si>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</si>
  <si>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</si>
  <si>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</si>
  <si>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</si>
  <si>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</si>
  <si>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</si>
  <si>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</si>
  <si>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</si>
  <si>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</si>
  <si>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</si>
  <si>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</si>
  <si>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</si>
  <si>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</si>
  <si>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</si>
  <si>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</si>
  <si>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</si>
  <si>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</si>
  <si>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Grupo</t>
  </si>
  <si>
    <t>Consecuencias</t>
  </si>
  <si>
    <t>MINISTERIO DE DEFENSA NACIONAL
COMANDO GENERAL DE LAS FUERZAS MILITARES
DIRECCIÓN GENERAL DE SANIDAD MILITAR
GRUPO DE PLANEACIÓN ESTRATEGICA</t>
  </si>
  <si>
    <t>Formato Mapa de Riesgos Institucional DIGSA</t>
  </si>
  <si>
    <t>MDN-COGFM-PROPLAES-DIGSA-FU.95.1-43</t>
  </si>
  <si>
    <t>Proceso: Planeación estratégica</t>
  </si>
  <si>
    <t>ESTRATEGICO</t>
  </si>
  <si>
    <t>Grupo Planeaciòn Estrategica - Area Presupuestación - ARPRE</t>
  </si>
  <si>
    <t>Trimestral</t>
  </si>
  <si>
    <t>Área de Comunicaciones Estratégicas y Gestión del Cambio - ARCOM</t>
  </si>
  <si>
    <t>Causas</t>
  </si>
  <si>
    <r>
      <rPr>
        <b/>
        <sz val="11"/>
        <color theme="9" tint="-0.249977111117893"/>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</si>
  <si>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ARCOM</t>
  </si>
  <si>
    <t>Nombre del Riesgo</t>
  </si>
  <si>
    <t>Descripciòn del Riesgo</t>
  </si>
  <si>
    <t>Grupo Planeaciòn Estrategica - Sistemas Integrados de Gestión - ARSIG</t>
  </si>
  <si>
    <t>Grupo Planeaciòn Estrategica - Desarrollo Institucional - ARDEY</t>
  </si>
  <si>
    <t>Grupo Planeaciòn Estrategica - Area Costos y Estadistica - ARCYE</t>
  </si>
  <si>
    <t>CONTROL</t>
  </si>
  <si>
    <t>Grupo Seguimiento y Evaluación  - GRSYE</t>
  </si>
  <si>
    <t>APOYO</t>
  </si>
  <si>
    <t>Grupo Asuntos Legales - GRULE</t>
  </si>
  <si>
    <t>MISIONAL</t>
  </si>
  <si>
    <t>Grupo Atención al Usuario y Participación Social - GRAPS</t>
  </si>
  <si>
    <t>Gestiòn Documental - AREDO</t>
  </si>
  <si>
    <t>Grupo Sistema Integral de Información - Tecnologias de las informacion y las comunicaciones - SISAM</t>
  </si>
  <si>
    <t>Grupo Sistema Integral de Información - Gestión de la Información - GRUGI</t>
  </si>
  <si>
    <t>Subdirección de Salud - Gestión del Riesgo - GRERI</t>
  </si>
  <si>
    <t>Subdirección de Salud  - Aseguramiento en Salud - GRUAS</t>
  </si>
  <si>
    <t>Subdirección de Salud  - Prestación y Operación de Servicios de Salud - GROSD</t>
  </si>
  <si>
    <t>Subdirección de Salud  - Salud Operacional - GRUSO</t>
  </si>
  <si>
    <t>Subdirección de Salud  - Área Supervición al contrato Interadministrativo HOMIC - ARHMC</t>
  </si>
  <si>
    <t>Subdirección de Salud  - Área Supervisión a la Interventoría de Medicamentos - ARICM</t>
  </si>
  <si>
    <t>Subdirecciòn Administrativa y Financiera - Grupo Talento Humano - GRUTH</t>
  </si>
  <si>
    <t>Subdirecciòn Administrativa y Financiera - Gestión Financiera - GRUFI</t>
  </si>
  <si>
    <t>Subdirecciòn Administrativa y Financiera - Apoyo Logistico - GRUAA</t>
  </si>
  <si>
    <t>Subdirecciòn Administrativa y Financiera - Gestión de la Afiliación - GRUGA</t>
  </si>
  <si>
    <t>CRITERIOS PARA CALIFICAR EL IMPACTO - RIESGO DE CORRUPCIÓN</t>
  </si>
  <si>
    <t>No.</t>
  </si>
  <si>
    <t>PREGUNTA SI EL RIESGO DE CORRUPCIÓN SEMATERIALIZA PODRÍA</t>
  </si>
  <si>
    <t>SI</t>
  </si>
  <si>
    <t>NO</t>
  </si>
  <si>
    <t xml:space="preserve">¿Afectar al grupo de funcionarios del proceso? </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</si>
  <si>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</si>
  <si>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</si>
  <si>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</si>
  <si>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</si>
  <si>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</si>
  <si>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</si>
  <si>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</si>
  <si>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</si>
  <si>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</si>
  <si>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</si>
  <si>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</si>
  <si>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</si>
  <si>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</si>
  <si>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</si>
  <si>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</si>
  <si>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</si>
  <si>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</si>
  <si>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</si>
  <si>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</si>
  <si>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ESCALA DE IMPACTO CON ENFOQUE DE CORRUPCIÓN</t>
  </si>
  <si>
    <t>Escala</t>
  </si>
  <si>
    <t>Respuestas Afirmativas</t>
  </si>
  <si>
    <t>Genera medianas consecuencias sobre la entidad</t>
  </si>
  <si>
    <t>1 a 5</t>
  </si>
  <si>
    <t xml:space="preserve"> Mayor</t>
  </si>
  <si>
    <t>Genera altas consecuencias sobre la entidad.</t>
  </si>
  <si>
    <t>6 a 11</t>
  </si>
  <si>
    <t>Genera consecuencias desastrosas para la entidad</t>
  </si>
  <si>
    <t>12 a 19</t>
  </si>
  <si>
    <t>ARSIG</t>
  </si>
  <si>
    <t>ARDEY</t>
  </si>
  <si>
    <t>ARPRE</t>
  </si>
  <si>
    <t>ARCYE</t>
  </si>
  <si>
    <t>GRSYE</t>
  </si>
  <si>
    <t>GRULE</t>
  </si>
  <si>
    <t>GRAPS</t>
  </si>
  <si>
    <t>AREDO</t>
  </si>
  <si>
    <t>SISAM</t>
  </si>
  <si>
    <t>GRUGI</t>
  </si>
  <si>
    <t>GRERI</t>
  </si>
  <si>
    <t>GRUAS</t>
  </si>
  <si>
    <t>GROSD</t>
  </si>
  <si>
    <t>GRUSO</t>
  </si>
  <si>
    <t>ARHMC</t>
  </si>
  <si>
    <t>ARICM</t>
  </si>
  <si>
    <t>GRUCO</t>
  </si>
  <si>
    <t>GRUTH</t>
  </si>
  <si>
    <t>GRUFI</t>
  </si>
  <si>
    <t>GRUAA</t>
  </si>
  <si>
    <t>GRUGA</t>
  </si>
  <si>
    <t>mensual</t>
  </si>
  <si>
    <t>MINISTERIO DE DEFENSA NACIONAL
COMANDO GENERAL DE LAS FUERZAS MILITARES
DIRECCIÓN GENERAL DE SANIDAD MILITAR
GRUPO DE PLANEACIÓN Y DESARROLLO INSTITUCIONAL</t>
  </si>
  <si>
    <t>Proceso Planeación Estratégica</t>
  </si>
  <si>
    <t>CONTROL DE CAMBIOS</t>
  </si>
  <si>
    <t>Versión</t>
  </si>
  <si>
    <t>Fecha de Aprobación</t>
  </si>
  <si>
    <t>Descripción de cambios</t>
  </si>
  <si>
    <t>Diciembre de 2019</t>
  </si>
  <si>
    <t>Versión vigente en la SVE, las versiones anteriores tienen trazabilidad en la SVE.</t>
  </si>
  <si>
    <t>Septiembre del 2020</t>
  </si>
  <si>
    <t>Se actualizo encabezado según lo definido por el proceso de gestión documental</t>
  </si>
  <si>
    <t>Diciembre del 2020</t>
  </si>
  <si>
    <t>Se actualizo el formato con la finalidad de especificar la etapa de Identificación y tratamiento e incluir la columan de Soporte de la actividad de control</t>
  </si>
  <si>
    <t>Octubre del 2021</t>
  </si>
  <si>
    <t>Se aplican los cambios de acuerdo con la normatividad vigente en materia de Gestión del Riesgo.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3.La información registrada en el documento es responsabilidad del proceso que lo emite.</t>
  </si>
  <si>
    <t>Septiembre del 2022</t>
  </si>
  <si>
    <t>Se adopta el formato del Departamento Administrativo de la Función Pública como complemento del formato Mapa de Riesgos Institucional DIGSA codigo MDN-COGFM-PROPLAES-DIGSA-FU.95.1-43, como parte de la mejora continua de la Gestión del Riesgo.</t>
  </si>
  <si>
    <t>CONTROL DE APROBACIÓN</t>
  </si>
  <si>
    <t>Elaboró</t>
  </si>
  <si>
    <t>Revisó</t>
  </si>
  <si>
    <t>Aprobó</t>
  </si>
  <si>
    <t>TASD. Nidia Liliana Guerrero Santos 
Grupo de Planeación Estratégica DIGSA  
Área Desarrollo Institucional ARDEI</t>
  </si>
  <si>
    <t xml:space="preserve">
TASD. Nidia Liliana Guerrero Santos 
Grupo de Planeación Estratégica DIGSA  
Área Desarrollo Institucional ARDEI
Gestor de Calidad
</t>
  </si>
  <si>
    <t xml:space="preserve">
SMSM. Edna del Pilar Martínez Páez
Grupo Planeación Estratégica DIGSA 
Lider Área Sistemas Integrados de Gestión ARSIG
PD. Monica Bibiana Bustamante Rondon
Grupo Planeación Estratégica DIGSA
Área Desarrollo Institucional ARDE</t>
  </si>
  <si>
    <t xml:space="preserve">
PD. Alexandra Martínez Vargas
Coordinadora Grupo Planeación Estratégica DIGSA
Representante de la Dirección</t>
  </si>
  <si>
    <t>Instructivo de Diligenciamiento Matriz Mapa de Riesgos</t>
  </si>
  <si>
    <t>Responsable del Proceso:</t>
  </si>
  <si>
    <t>Funcionario responsable del Grupo, Proceso o Àrea</t>
  </si>
  <si>
    <t>Utilice la lista de despliegue que se encuentra parametrizada y selecciones el proceso al que pertenece de acuerdo a lo establecido en el Mapa de procesos de la entidad</t>
  </si>
  <si>
    <t>Utilice la lista de despliegue que se encuentra parametrizada y seleccione el nombre del Grupo, proceso o Ârea al que pertenece</t>
  </si>
  <si>
    <t>Consecuencia:</t>
  </si>
  <si>
    <t>Los efectos o situaciones resultantes de la materialización del riesgo que impactan en el proceso, la entidad, sus grupos de valor y demás partes interesadas.</t>
  </si>
  <si>
    <t>ATRIBUTOS EFICIENCIA
Tipo</t>
  </si>
  <si>
    <t>ATRIBUTOS EFICIENCIA
Implementación</t>
  </si>
  <si>
    <t>ATRIBUTOS EFICIENCIA
Calificación</t>
  </si>
  <si>
    <t>ATRIBUTOS INFORMATIVOS
Documentación</t>
  </si>
  <si>
    <t>ATRIBUTOS INFORMATIVOS
Frecuencia</t>
  </si>
  <si>
    <t>ATRIBUTOS INFORMATIVOS
Registro</t>
  </si>
  <si>
    <t xml:space="preserve">Plan de Acción
Responsable, fecha implementación, fecha seguimiento, seguimiento. </t>
  </si>
  <si>
    <t>Fuente:  
1. Guia para la Administración del Riesgo, codigo MDN-COGFM-PROPLAES-DIGSA-GI.95.1-2 V1
2. Adaptado de Curso Riesgo Operativo Universidad del Rosario por Dirección de Gestión y Desempeño Institucional de Función Pública,  2020.</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</si>
  <si>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sz val="12"/>
        <color theme="9" tint="-0.249977111117893"/>
        <rFont val="Arial"/>
        <family val="2"/>
      </rPr>
      <t>Guía para la Administración del Riesgo y el diseño de controles V5</t>
    </r>
    <r>
      <rPr>
        <sz val="12"/>
        <rFont val="Arial"/>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</si>
  <si>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proceso, su objetivo, alcance, actividades clave, considere los lineamientos establecidos en el </t>
    </r>
    <r>
      <rPr>
        <sz val="12"/>
        <color theme="9" tint="-0.249977111117893"/>
        <rFont val="Arial"/>
        <family val="2"/>
      </rPr>
      <t>Paso 2: identificación del riesgo</t>
    </r>
    <r>
      <rPr>
        <sz val="12"/>
        <rFont val="Arial"/>
        <family val="2"/>
      </rPr>
      <t xml:space="preserve">, donde se explica ampliamente las bases para adelanter este análisis.
Así mismo, considere en el </t>
    </r>
    <r>
      <rPr>
        <sz val="12"/>
        <color theme="9" tint="-0.249977111117893"/>
        <rFont val="Arial"/>
        <family val="2"/>
      </rPr>
      <t>Paso 3: valoración del riesgo</t>
    </r>
    <r>
      <rPr>
        <sz val="12"/>
        <rFont val="Arial"/>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sz val="12"/>
        <color theme="9" tint="-0.249977111117893"/>
        <rFont val="Arial"/>
        <family val="2"/>
      </rPr>
      <t>NOTA:</t>
    </r>
    <r>
      <rPr>
        <sz val="12"/>
        <rFont val="Arial"/>
        <family val="2"/>
      </rPr>
      <t xml:space="preserve"> Si lo considera pertinente, es posible agregar hojas de trabajo adicionales al presente formato que permitan incluir la traza de estos análisis.</t>
    </r>
  </si>
  <si>
    <t>El archivo contiene las siguientes hojas:
-   Hoja 1 Instructivo
 -  Hoja 2 Mapa Final: Encontrará la totalidad de la estructura para la identificación y valoración de los riesgos por proceso, programa o proyecto, acorde con el nivel de desagregación que la entidad considere necesaria.</t>
  </si>
  <si>
    <r>
      <t xml:space="preserve">Consolida o resume los análisis sobre impacto + causa inmediata + causa raíz, permitiendo contar con una redacción clara y concreta del riesgo indentificado. Tenga en cuenta la estructura de alto nivel establecida en al guía, inicia con </t>
    </r>
    <r>
      <rPr>
        <sz val="12"/>
        <color theme="9" tint="-0.249977111117893"/>
        <rFont val="Arial"/>
        <family val="2"/>
      </rPr>
      <t>POSIBILIDAD DE + Impacto para la entidad (Qué) + Causa Inmediata (Cómo) + Causa Raíz (Por qué)</t>
    </r>
  </si>
  <si>
    <r>
      <t xml:space="preserve">Recuerde que el control se define como la medida que permite reducir o mitigar un riesgo. Defina el control (es) que atacan la causa raíz del riesgo, considere la estructura explicada en la guía: </t>
    </r>
    <r>
      <rPr>
        <sz val="12"/>
        <color theme="9" tint="-0.249977111117893"/>
        <rFont val="Arial"/>
        <family val="2"/>
      </rPr>
      <t>Responsable de ejecutar el control + Acción + Complemento</t>
    </r>
  </si>
  <si>
    <r>
      <t>La matriz automáticamente hará el cálculo, acorde con el control o controles definidos con sus atributos analizados, lo que permitirá establecer el</t>
    </r>
    <r>
      <rPr>
        <sz val="12"/>
        <color theme="9" tint="-0.249977111117893"/>
        <rFont val="Arial"/>
        <family val="2"/>
      </rPr>
      <t xml:space="preserve"> nivel de riesgo inherente</t>
    </r>
    <r>
      <rPr>
        <sz val="12"/>
        <rFont val="Arial"/>
        <family val="2"/>
      </rPr>
      <t xml:space="preserve"> (Columnas Y- Z- AA -AB- AC).</t>
    </r>
  </si>
  <si>
    <t xml:space="preserve"> -  Hoja 3 Matriz de Calor Inherente:  En esta hoja, en la medida en que ese diligencia el Mapa Final, se verán reflejados los riesgos en su zona correspondiente. Esta hoja no se diligencia se genera de manera automática.</t>
  </si>
  <si>
    <t xml:space="preserve"> -  Hoja 4 Matriz de Calor Residual: En esta hoja, en la medida en que ese diligencia el Mapa Final, se verán reflejados los riesgos en su zona correspondiente. Esta hoja no se diligencia se genera de manera automática.</t>
  </si>
  <si>
    <t xml:space="preserve"> -  Hoja 5 Tabla de probabilidad: Tabla referente para todos los cálculos (no se diligencia)</t>
  </si>
  <si>
    <t xml:space="preserve"> -  Hoja 6 Tabla de Impacto: Tabla referente para todos los cálculos (no se diligencia)</t>
  </si>
  <si>
    <t xml:space="preserve"> -  Hoja 7 Tabla de Impacto Corrupción: Tabla referente para todos los cálculos,El impacto se debe analizar y calificar a partir de las consecuencias identificadas en la fase de descripción del riesgo.</t>
  </si>
  <si>
    <t xml:space="preserve"> -  Hoja 8 Tabla de Valoración de Controles: Tabla referente para todos los cálculos (no se diligencia)</t>
  </si>
  <si>
    <t>Seguridad de Informaciòn</t>
  </si>
  <si>
    <t>Corrupción</t>
  </si>
  <si>
    <t>R1</t>
  </si>
  <si>
    <t>R2</t>
  </si>
  <si>
    <t>R3</t>
  </si>
  <si>
    <t>R4</t>
  </si>
  <si>
    <t>R5</t>
  </si>
  <si>
    <t>R6</t>
  </si>
  <si>
    <t>R7</t>
  </si>
  <si>
    <t>R8</t>
  </si>
  <si>
    <t>R9</t>
  </si>
  <si>
    <t>R10</t>
  </si>
  <si>
    <t>R11</t>
  </si>
  <si>
    <t>R12</t>
  </si>
  <si>
    <t>R13</t>
  </si>
  <si>
    <t>R14</t>
  </si>
  <si>
    <t>R15</t>
  </si>
  <si>
    <t>R16</t>
  </si>
  <si>
    <t>Subdirección Administrativa y Financiera - Grupo Contratación - GRUCO</t>
  </si>
  <si>
    <t>Mapa Riesgos Proceso de Apoyo Matriz 2 Dirección General de Sanidad Militar</t>
  </si>
  <si>
    <t>sanciones administrativa por desacato a orden judicial</t>
  </si>
  <si>
    <t xml:space="preserve">respuesta extemporanea de las acciones constitucionales </t>
  </si>
  <si>
    <t xml:space="preserve">1. Cargas laborales excesivas
2. Demora por parte de terceros en el envío de insumos necesarios para la gestión jurídica
3. Demoras en el reparto de la documentación
</t>
  </si>
  <si>
    <t>Sancion Disciplinaria
Sanción Administrativa
Multas
Medidas Carcelarias</t>
  </si>
  <si>
    <t>Atención inoportuna o extemporánea de las actuaciones que deben surtirse en los asuntos jurídicos de competencia de la DIGSA</t>
  </si>
  <si>
    <t>Deficiencia en el acceso, oportunidad, disponibilidad, integralidad, confidencialidad, seguridad y divulgación de la información del SSFM.</t>
  </si>
  <si>
    <t>Oportunidad en la entrega y deficiencia en la calidad de la información generada en las Áreas y Grupos de Trabajo de la DIGSA</t>
  </si>
  <si>
    <t xml:space="preserve">Transferencia de conocimiento 
Falta de repositorioríos de instructivos para informes
Falta de aplicación del procedimiento en la entrega de puestos
Falla en la gestión del procedimiento para cambio en los roles asignados en los sistemas de información 
</t>
  </si>
  <si>
    <t>Posibilidad de afectación reputacional y económica en la toma de decisiones  debido a la deficiencia en la calidad de la información,  generada por las diferentes Áreas y Grupos de trabajo de la DIGSA.</t>
  </si>
  <si>
    <t>Deficiencia en la calidad de la información generada por las diferentes Áreas y Grupos de trabajo de la DIGSA.</t>
  </si>
  <si>
    <t>El responsable de gestión de la información realiza por medio de Power Apps  las notificaciones las cuales generan una alerta correos institucionales de los responsable asignados del cargue y gestión de la información</t>
  </si>
  <si>
    <t xml:space="preserve">El responsable de gestión de la información realiza verificación  en los  sistemas de información del cargue y coherencia de la información, notificando a aquellos procesos que se encuentren en estado pendiente para el cargue de sus productos, igualmente  revisa la coherencia  y solicita la  actualización  cuando no cumple con los criterios establecidos para los productos </t>
  </si>
  <si>
    <t>Queja del servidor público al encontrar la inconsistencia, en el pago de la nomina para el mes correspondiente.</t>
  </si>
  <si>
    <t>Falta de verificación de las novedades al momento de la liquidación de la nómina.</t>
  </si>
  <si>
    <t>El no pago de los auxilios por incapacidad por parte de la EPS y Procesos disciplinarios por la demora en la gestión.</t>
  </si>
  <si>
    <t>No se cumpla con requisitos establecidos por la EPS y la demora en los trámites por parte de los responsables en el procedimiento.</t>
  </si>
  <si>
    <t>Este riesgo consiste en no realizar la gestión de recobros de incapacidades ante la EPS de acuerdo con lo establecido en la Ley y no aplicar el procedimiento establecido para esta gestión.</t>
  </si>
  <si>
    <t xml:space="preserve">Que los datos incluidos en la nómina no correspondan al soporte enviado  y se genere un error en el valor cancelado mensual. </t>
  </si>
  <si>
    <t xml:space="preserve">Grupo de Talento Humano -Sistema de Gestión de Seguridad y Salud en el Trabajo </t>
  </si>
  <si>
    <t>sanciones de entes de conrol, regualdores o demantas grupos de valor</t>
  </si>
  <si>
    <t>Incumplimiento de los estándares mínimos del sistema de gestión de seguridad y Salud en el Trabajo.</t>
  </si>
  <si>
    <t>Incumplimieneto de normatividad vigente del Sistema de Seguridad y Salud en el trabajo</t>
  </si>
  <si>
    <t>Posibilidad de afectación económica y reputacional por pérdida de inventario por mal uso y/o disposición, debido al incumplimiento de los lineamientos del Manual de Bienes del MDN.</t>
  </si>
  <si>
    <t>1. Desabastecimiento de bienes para el suministro oportuno de las necesidades de la DIGSA.
2. Sanciones de entes de control, investigaciones disciplinarias y administrativas.
3. Afectación de la póliza, por solicitud de reposición de bienes.</t>
  </si>
  <si>
    <t>1. Falta de control en el ingreso y/o salida de bienes del almacén (Factor interno).
2. Pérdida de inventario dado el manejo indebido o desviación de los bienes asignados (Factor interno).
3. Falta de capacitación en la administración del inventario físico y en SAP (Factor interno).</t>
  </si>
  <si>
    <t>Incumplimiento de los lineamientos establecidos en el Manual de Bienes del MDN, para la gestión del inventario</t>
  </si>
  <si>
    <t>Pérdida de inventario por mal uso y/o disposición</t>
  </si>
  <si>
    <t>Realizar una inadecuada gestión del inventario y omitir los lineamientos establecidos en el Manual de Bienes del MDN.</t>
  </si>
  <si>
    <t>El Jefe de Inventarios, previa información recibida por el Almacenista, realiza comunicación a los coordinadores sobre el inventario actual registrado en SAP, para su revisión, aprobación y/o registro de novedades, las cuales deberán ser soportadas mediante los formatos establecidos (reintegro, reasignación, actas) y teniendo en cuenta los lineamientos del Manual de Bienes del Ministerio de Defensa Nacional.</t>
  </si>
  <si>
    <t xml:space="preserve">El Almacenista, realiza anualmente verificación del inventario en los diferentes centro de costo, mediante toma física, de acuerdo con los lineamientos del Manual de bienes del MDN y lo registrado en el sistema de información SAP, registrando novedades u observaciones en las actas de revista. </t>
  </si>
  <si>
    <t>1. Sanciones de entes de control, investigaciones disciplinarias y administrativas.
2. Afectación de la póliza, por solicitud de reposición de efectivo faltante.
3. Afectación de la imagen y credibilidad de la DIGSA</t>
  </si>
  <si>
    <t>1. Falta de control en la administración  de los recursos de caja menor (Factor interno).
2. Pérdida de efectivo de la caja menor dado el manejo indebido o desviación de los recursos asignados (Factor interno).
3. Falta de capacitación en la administración de la caja menor y los aplicativos asociados como el SIIF y SAP (Factor interno).</t>
  </si>
  <si>
    <t>Manejo de los recursos de la caja menor, fuera de los lineamientos establecidos.</t>
  </si>
  <si>
    <t>Pérdida de recursos y proceso administrativo</t>
  </si>
  <si>
    <t>Realizar ejecución de la caja menor sin tener en cuenta los lineamientos establecidos por la DIGSA</t>
  </si>
  <si>
    <t>Posibilidad de afectación económica y reputacional, por no suplir de manera efectiva las necesidades  administrativas y logísticas de la DIGSA, debido a la inacecuada planeación en la proyección de los recursos presupuestales en el plan de compras para las actividades de apoyo administrativo durante la vigencia</t>
  </si>
  <si>
    <t xml:space="preserve">1. Desabastecimiento de bienes para el suministro oportuno de las necesidades de la DIGSA.
2. Sanciones de entes de control, investigaciones disciplinarias y administrativas. </t>
  </si>
  <si>
    <t xml:space="preserve"> 1. Falta de control y seguimiento en la ejecución del presupuesto asignado (Factor interno).</t>
  </si>
  <si>
    <t>Inacecuada planeación en la proyección de los recursos presupuestales del plan de compras para las actividades de apoyo administrativo durante la vigencia</t>
  </si>
  <si>
    <t>No suplir de manera efectiva las necesidades  administrativas y logísticas de la DIGSA como el arrendamiento de las instalaciones, centro de copiado, aseo, papeleria, dotación y apoyo logístico en eventos internos..</t>
  </si>
  <si>
    <t>Realizar la Proyección de las necesidades del Plan de Compras sin tener en cuenta las necesidad administrativas y logisticas de la DIGSA</t>
  </si>
  <si>
    <t>SUBDIRECCION TECNICA Y DE GESTION - Gestión de la Información - GRUGI</t>
  </si>
  <si>
    <t>El responsable de gestión de la información realiza la calendarización por medio de los lineamientos y documentos establecidos  por GRUGI, de acuerdo a la  información suministrada por los Grupos y Áreas de la DIGSA.</t>
  </si>
  <si>
    <t>En proceso</t>
  </si>
  <si>
    <t>En Curso</t>
  </si>
  <si>
    <t>El Coordinador del Grupo Apoyo Administrativo, verifica el saldo en efectivo de la caja menor, a través del arqueo asociado al reembolso mensual, registrando en acta el conteo del efectivo disponible Vs dinero en la cuenta de caja mejor, reembolsos y facturas, y los respectivos hallazgos si es el caso.</t>
  </si>
  <si>
    <t>Evaluar trimestralmente la gestión del inventario, a través del análisis del comportamiento y novedades del mismo, teniendo en cuenta los lineamientos del Manual de Bienes del Ministerio de Defensa Nacional, generando alertas frente a las novedades del inventario. La fuente para el análisis se basa en la ejecución de los procedimientos asociados y en los movimientos de inventario registrados en   SAP.
Responsable: Jefe de Bienes en Servicio con supervisión del Coordinador del Grupo de Apoyo Administrativo 
OBJ. 2. Gestionar la sostenibilidad y el riesgo financiero del SSFM_Eficiencia Administrativa.</t>
  </si>
  <si>
    <t>Realizar trimestralmente, informe de la ejecución de la caja menor, soportado en los diferentes arqueos y documentos asociados al procedimiento.
Responsable: Cuentadante con supervisión del Coordinador del Grupo de Apoyo Administrativo 
OBJ. 2. Gestionar la sostenibilidad y el riesgo financiero del SSFM_Eficiencia Administrativa.</t>
  </si>
  <si>
    <t>Elaborar una investigación preliminar, que permita comprobar la pérdida de recursos de caja menor debido a la no aplicación de los lineamientos establecidos para el manejo de la misma y los responsables de dicha pérdida, soportado en las siguientes actividades.
Realizar arqueo y  conciliación de caja menor, obtener argumento del Cuentadante y notificar a quienes corresponda.
Elaborar  un informe integral, donde se den a conocer las causas, estado de la caja menor, impacto y oportunidad de  mejora, derivados de la pérdida de recursos de la caja menor.</t>
  </si>
  <si>
    <t>La Coordinación de Asuntos legales verifica semanalmente a través de reportes emitidos por el área de seguimiento, informes y estadísticas jurídicas,  el control de reparto asignado a  cada abogado, con el fin de identificar los términos de ley  y de respuesta, y la actualización dentro del sistema de información POWERAPSS - Acciones Constitucionales.</t>
  </si>
  <si>
    <r>
      <t xml:space="preserve">La Coordinación de Asuntos legales verifica los procesos y términos a llegados, para establecer los tiempos de respuesta y pronunciamientos de los despachos judiciales, asignando a los abogados del grupo de asuntos legales para su gestión. </t>
    </r>
    <r>
      <rPr>
        <b/>
        <sz val="12"/>
        <color theme="1"/>
        <rFont val="Arial"/>
        <family val="2"/>
      </rPr>
      <t>Soporte de Control: informa trimestral del principal causal que genera tutelas y peticiones.</t>
    </r>
  </si>
  <si>
    <t>La Coordinación de Asuntos legales y abogados revisan los lineamientos de elaboración de oficios internos emitidos por el procesos de gestión documental, con el fin de no genera reprocesos en la emisión de respuestas a los despachos judiciales, por devoluciones en ayudantía.</t>
  </si>
  <si>
    <t xml:space="preserve">Seguimiento semanal en la herramienta POWERAPPS - Acciones Constitucionales V2 para identificar posibles incumplimientos dentro de lo allegado.
OBJ. 2. Gestionar la sostenibilidad y el riesgo financiero del SSFM_Eficiencia Administrativa (Riesgo Financiero) &gt; Gestión Jurídica &gt; Monitorear los indicadores de la defensa Jurídica (DIGSA-DISAN - JEFSA)_GRULE
</t>
  </si>
  <si>
    <t>El Área de Seguimiento, informes y estadísticas jurídicas realiza informe a la Coordinación semanal con recomendaciones frente a los hallazgos que se detecten en la actualización de datos por parte de los funcionarios de GRULE.</t>
  </si>
  <si>
    <t>El Gestor de Calidad, mantendrá la mejora continua, a través de la revisión y análisis semestralmente de los procedimientos del Proceso de Apoyo Administrativo, realizando los ajustes respectivos cuando sean necesarios, los cuales son enviados al grupo de Planeación estratégica - área de sistemas integrados de gestión.</t>
  </si>
  <si>
    <r>
      <t xml:space="preserve">El Almacenista, realiza la asignación de los elementos a cargo de cada una de las áreas, de acuerdo a la solicitud o registro en el sistema SAP, registrando en los formatos Acta de levantamiento y/o entrega de inventarios propiedad planta y equipo DIGSA . </t>
    </r>
    <r>
      <rPr>
        <b/>
        <sz val="12"/>
        <rFont val="Arial"/>
        <family val="2"/>
      </rPr>
      <t>Soporte de Control Informe trimestral de gestión de inventario.</t>
    </r>
  </si>
  <si>
    <t xml:space="preserve">
Elaborar una investigación preliminar, que permita identificar lo sucedido y responsables de la pérdida de inventario por mal uso y/o disposición, debido al incumplimiento de los lineamientos del Manual de Bienes del MDN, soportado en las siguientes actividades:
Realizar el conteo físico respectivo que permita comprobar la pérdida de inventario, comparando existencia física vs reporte de existencia en SAP, realizar conciliación contable, obtener argumentos de los responsables de los faltantes identificados y notificar a quienes corresponda.
Elaborar  un informe integral, donde se den a conocer las causas, estado del inventario, impacto y oportunidad de  mejora, derivados de la pérdida de inventario.
</t>
  </si>
  <si>
    <r>
      <t xml:space="preserve">El Cuentadante aplica los lineamientos establecidos en el Procedimiento para el manejo de recursos de la caja menor y la Resolución de constitución de la misma, de acuerdo  las solicitudes presentadas, soportado en resolución de reembolso mensual y/o periódico. </t>
    </r>
    <r>
      <rPr>
        <b/>
        <sz val="12"/>
        <color theme="1"/>
        <rFont val="Arial"/>
        <family val="2"/>
      </rPr>
      <t>Soporte de Control: Informe trimestral de caja menor.</t>
    </r>
  </si>
  <si>
    <r>
      <t xml:space="preserve">El Coordinador del Grupo Apoyo Administrativo realiza seguimiento trimestral a través del informe de ejecución de recursos contratados para el apoyo administrativo, verificando lo presupuestado vs lo ejecutado, con el fin garantizar el cumplimiento de la proyección anual. </t>
    </r>
    <r>
      <rPr>
        <b/>
        <sz val="12"/>
        <color theme="1"/>
        <rFont val="Arial"/>
        <family val="2"/>
      </rPr>
      <t>Soporte de Control: Informe trimestral de ejecución recursos contratados para apoyo administrativos.</t>
    </r>
  </si>
  <si>
    <t>El Coordinador del Grupo Apoyo Administrativo, realiza la proyección anual de las necesidades dentro del plan de compras, requeridas para ejecución de actividades de apoyo administrativo de la vigencia, de acuerdo con los lineamientos establecidos para su construcción por el Grupo de Planeación Estratégica.</t>
  </si>
  <si>
    <t xml:space="preserve">Realizar el Plan de Compras para las actividades de apoyo administrativo, presentado a la oficina de Planeación, acorde con los lineamientos establecidos.
Responsable: Coordinador del Grupo de Apoyo Administrativo
OBJ. 2. Gestionar la sostenibilidad y el riesgo financiero del SSFM_Eficiencia Administrativa.
</t>
  </si>
  <si>
    <t xml:space="preserve">Elaborar una investigación preliminar, que permita identificar la falta de planeación por no suplir de manera efectiva las necesidades administrativas y logísticas de la DIGSA, debido a la inacecuada proyección de los recursos presupuestales en el plan de compras para las actividades de apoyo administrativo durante la vigencia, soportado en las siguientes actividades.
Validar y reportar el resultado de la planeación de las necesidades administrativas y logísticas de la DIGSA, obtener argumentos de los responsables y notificar a quienes corresponda.
Elaborar un informe integral, donde se den a conocer las causas, estado de la proyección de las necesidades administrativas y logísticas de la DIGSA, impacto y oportunidad de mejora, derivados de la falta de planeación.
Solicitar al Director General de Sanidad Militar traslado del rubro aprobado en el plan de compras informando de que rubro se contraacredita, justificado técnicamente y/o solicitar adición al rubro presupuestal desfinanciado.
 </t>
  </si>
  <si>
    <t xml:space="preserve">El Coordinador del Grupo Gestión de la información realiza retroalimentación con los Coordinador, gestores de calidad de los diferentes grupos de trabajo, sobre el diligenciamiento de los documentos Matriz Flujo de Información en Salud DIGSA, Formato de Uso de las Salidas o Productos DIGSA, documento de trabajo interacción de procesos.
El gestor de calidad de grupos de trabajo realiza la retroalimentación a sus líderes de procesos para el cumplimiento de cargue de información de acuerdo a la programación aprobada.
Realizar notificación al gestor de calidad y líderes de procesos de la información pendiente de cargue, relacionando los productos y periodicidad.
</t>
  </si>
  <si>
    <t>Plan de Contingencia</t>
  </si>
  <si>
    <t>13/04/2023
07/07/2023
09/10/2023
10/01/2024</t>
  </si>
  <si>
    <t xml:space="preserve">
El responsable de nómina informa al Coordinador de grupo de talento humano y subdirector administrativo y financiero sobre las inconsistencias para respectivos tramites.
El responsable de nómina una vez identificado la inconsistencia informa al servidor público para que realice la solicitud en caso de no pagos y reintegros, una vez registrada se realiza ajuste en sistema para pago. En caso de mayor valor pagado, el responsable de nómina genera oficio al servidor público para reintegro de los recursos.
</t>
  </si>
  <si>
    <t>El responsable de nómina genera el magnético de deducciones a fin de verificarlo con los resultados de la prenomina, conciliando con el procedimiento seguridad social para verificar descuentos de ley. Se realiza reliquidación en el caso de que se presenten inconsistencias.</t>
  </si>
  <si>
    <t>El responsable de nómina, realiza mensualmente comparativo de las novedades registradas en el sistema con la nómina del mes anterior vs la pre nómina del mes a liquidar, con el fin de verificar que las novedades fueron incluidas, realizando actualización de conceptos en el sistema cuando se presente inconsistencia.</t>
  </si>
  <si>
    <t>El líder del área verifica mensualmente las novedades radicadas en correspondencia y el tramite respecto para ingreso en la nómina,  el responsable de nómina verifica la pertinencia de las novedades y retroalimenta al líder del área.</t>
  </si>
  <si>
    <t>El responsable de nómina verifica mensual mediante lista de chequeo las actividades en función de las novedades para registro en el sistema, revisando con registro y correspondencia si la información de novedades está en trámite o entrega para la actividades pendientes.</t>
  </si>
  <si>
    <t>Afectación reputacional y económica en la toma de decisiones de la DIGSA
Falta de información para analisis y planeacion
Calidad de la informración para la proyeccion institucional</t>
  </si>
  <si>
    <r>
      <t xml:space="preserve">El responsable de gestión de la información realiza informe trimestral al SUBTG de seguimiento a los reportes e indicadores en la calendarización para la vigencia, presentando informe al Subdirector Técnico informando el monitoreo a flujo de información. </t>
    </r>
    <r>
      <rPr>
        <b/>
        <sz val="12"/>
        <color theme="1"/>
        <rFont val="Arial"/>
        <family val="2"/>
      </rPr>
      <t>Soporte de Control: Informe Trimestral Calendarización.</t>
    </r>
  </si>
  <si>
    <t xml:space="preserve">
OBJ. 3. Fortalecer el Desarrollo, Implementación e Integración del Sistema de Información en los procesos de aseguramiento y la Prestación de los Servicios de Salud Tecnologías de la información y comunicaciones 
El líder administración de datos y registros realiza el cargue de la calendarización anual de todas las área y grupos de trabajo de la DIGSA, para la vigencia en la herramienta Microsoft OFFICE 365 (SHARE POINT, POWERBI, POWERAPPS), con el fin que consolidar el flujo de información y tener soporte.
El líder administración de datos y registros realiza la verificación mensualmente en los sistemas de información el cargue y coherencia de la información, notificando aquellos procesos que se encuentre en estado pendiente para el cargue de sus productos.
</t>
  </si>
  <si>
    <t>Identificar aquellos factores que generan riesgo al momento del registro de novedades y  que generan inconsistencias en la liquidación de nomina.</t>
  </si>
  <si>
    <t xml:space="preserve">1. No registro de las novedades dentro de la liquidación del mes.
2. Posible negligencia del servidor público para cumplir con los lineamientos y o el procedimiento establecido.
3. Demora en el suministro de novedades por parte de los procesos (Vacaciones, Licencias, Recargos, Incapacidades, Embargos, Libranzas)
4. No actualización del sistema de información, inconsistencia de parametrización del sistema.
</t>
  </si>
  <si>
    <t xml:space="preserve">1. Reprocesos en la liquidación de la nómina.
2. Afectación de la imagen institucional.
3. Retraso en el pago de la nómina para los servidores públicos.
4. Incumplimiento en el cronograma establecido para el pago de la nómina.
5. Queja e inconformidad por parte de los grupos de valor interno
</t>
  </si>
  <si>
    <t xml:space="preserve">Posibilidad de afectación económica y reputacional por queja del servidor publico, en las inconsistencias de los devengos y deducciones del pago de Nomina, debido a la falta de registro de novedades por el funcionario administrador y demora del suministro de información por parte de los procesos.
</t>
  </si>
  <si>
    <t xml:space="preserve">
Posibilidad de pérdida económica por la negación al reconocimiento de las incapacidades debido al incumplimiento de los requisitos exigidos por la EPS, por demora en los trámites por parte de los responsables en el proceso</t>
  </si>
  <si>
    <t>Prescripción de tiempos de recobro, Rechazo por incumplimiento en los requisitos.</t>
  </si>
  <si>
    <t>Detrimento patrimonial, Procesos disciplinarios, Sanciones.</t>
  </si>
  <si>
    <t>El responsable de gestión de incapacidades realiza mensualmente la verificación del cumplimiento de los requisitos mínimos exigidos por las EPS y ARL, si no cumple se realiza devolución y/o solicitud de los documentos para realizar el trámite.</t>
  </si>
  <si>
    <t>El responsable de gestión de incapacidades realizar mensualmente seguimiento a los pagos por parte de las EPS en los porcentajes establecidos por Ley y por el número de días de cada incapacidad, si no cumple se realiza reclamaciones ante las entidades responsables del pago.</t>
  </si>
  <si>
    <t>El responsable de gestión de incapacidades realiza reclamación a las incapacidades negadas, rechazadas o inconsistentes a las EPS Y ARL mensualmente, si no cumple se realiza una segunda reclamación mediante derecho de petición.</t>
  </si>
  <si>
    <r>
      <t xml:space="preserve">El responsable de gestión de incapacidades realiza oficio de solicitud de transcripción ante la EPS de incapacidades negadas por medico particular al funcionario que hizo uso del servicio, si no cumple se realiza descuento de valor de incapacidades negadas por el concepto médico particular al funcionario. </t>
    </r>
    <r>
      <rPr>
        <b/>
        <sz val="12"/>
        <color theme="1"/>
        <rFont val="Arial"/>
        <family val="2"/>
      </rPr>
      <t>Soporte del Control: Informe trimestral incapacidades.</t>
    </r>
  </si>
  <si>
    <t>OBJ. 2. Gestionar la sostenibilidad y el riesgo financiero del SSFM.
El responsable de gestión de incapacidades realiza  capacitación trimestral a los responsables de gestión de incapacidad de los Establecimientos de Sanidad Militar para la gestión de tramites de incapacidad ante la dirección general de sanidad militar.</t>
  </si>
  <si>
    <t xml:space="preserve">El responsable de gestión de incapacidades reporta al coordinador del Grupo de Talento las negaciones informadas por las entidades de salud y las ARL, para realizar los trámites administrativos antes las aseguradoras por vencimientos de términos.
El coordinador del grupo de talento humano realiza las acciones administrativa, frente al responsable del procesos para establecer la responsabilidad y acciones respectivas
</t>
  </si>
  <si>
    <r>
      <t xml:space="preserve">El responsable de nómina genera los archivos magnéticos para pago y los cruza a los resúmenes de nómina del mes trabajo para tramite de pago, verificando los totales de las nóminas por niveles, en caso de tener diferencia de los totales de realiza verificación de los conceptos. </t>
    </r>
    <r>
      <rPr>
        <b/>
        <sz val="12"/>
        <color theme="1"/>
        <rFont val="Arial"/>
        <family val="2"/>
      </rPr>
      <t>Soporte de Control : Informe pago de nómina.</t>
    </r>
  </si>
  <si>
    <t>1. Deficiencia en la competencia de los líderes SST en los Establecimientos de Sanidad. 
2. Ausencia de herramientas técnologicas sistematizadas que permitan monitorear en tiempo real el cumplimiento de las politicas y lineamietos emitidos desde la DIGSA, así como la calidad de los datos. 
3. Deficiencia en la asignación de recursos que permitan la intervención de los riesgos identificados.</t>
  </si>
  <si>
    <t>1. Posibilidad de intervención de organismos de control, quienes podrian aplicar sanciones y multas. 
2. Posibilidad de materialización de siniestros por deficiente intervencion de los riesgos ocupacionales. 
3. Posibilidad de no cobertura a eventos o siniestros por la ARL. 
4. Posibilidad de reclamaciones de los trabajadores al empleador.</t>
  </si>
  <si>
    <t>Posiblidad de pérdida economica y reputacional por demandas de grupos de valor y sanciones de entes de control y vigilancia debido al imcumplimiento de los estándares mìnimos del Sistema de seguridad y salud en el trabajo.</t>
  </si>
  <si>
    <r>
      <rPr>
        <sz val="12"/>
        <rFont val="Arial"/>
        <family val="2"/>
      </rPr>
      <t xml:space="preserve">El líder del Sistema de Gestión de Seguridad y Salud en el Trabajo de la DIGSA anualmente y acorde con los
cambios normativos en materia de SST, define median el Plan de Trabajo del SG-SST los lineamientos para la implementaciòn y sostenibilidad en las Direcciones de Sanidad, Jefatura de Salud y Establecimientos de Sanidad. </t>
    </r>
    <r>
      <rPr>
        <b/>
        <sz val="12"/>
        <rFont val="Arial"/>
        <family val="2"/>
      </rPr>
      <t>Soporte de Control: Plan de Trabajo SG-SST</t>
    </r>
    <r>
      <rPr>
        <sz val="12"/>
        <rFont val="Arial"/>
        <family val="2"/>
      </rPr>
      <t>.</t>
    </r>
  </si>
  <si>
    <t>Los líderes de Seguridad y Salud en el Trabajo de las Direcciones de Sanidad adoptan anualmente los lineamientos para implementarlos en niveles centrales y Establecimientos de Sanidad,  documentando y registrando su implementación en los documentos del SG-SST.</t>
  </si>
  <si>
    <r>
      <rPr>
        <sz val="12"/>
        <rFont val="Arial"/>
        <family val="2"/>
      </rPr>
      <t>Los responsables de Seguridad y Salud en el trabajo de los Establecimientos desarrollan, documentan y registran  en los documentos del SG-SST Cuatrimestralmente las actividades establecidas en el Sistema de Salud y Seguridad en el Trabajo. S</t>
    </r>
    <r>
      <rPr>
        <b/>
        <sz val="12"/>
        <rFont val="Arial"/>
        <family val="2"/>
      </rPr>
      <t>oporte Control: Informe de Gestión cuatrimestralmente ESM.</t>
    </r>
  </si>
  <si>
    <r>
      <rPr>
        <sz val="12"/>
        <rFont val="Arial"/>
        <family val="2"/>
      </rPr>
      <t xml:space="preserve">El líder de Seguridad y Salud de Trabajo de la DIGSA, y los lideres SST de la DISAN y JEFSA, verifican y documentan mediante informe de gestión cuatrimestral  el desarrollo del Sistema de Seguridad y Salud en el Trabajo en los Establecimientos de Sanidad. </t>
    </r>
    <r>
      <rPr>
        <b/>
        <sz val="12"/>
        <rFont val="Arial"/>
        <family val="2"/>
      </rPr>
      <t>Soporte de Control: Informe Cuatrimestral Desarrollo SST.</t>
    </r>
  </si>
  <si>
    <t>Los líderes SST de la DISAN y JEFSA, verifican mensualmente el desarrollo del Sistema de Seguridad y Salud en el Trabajo en los Establecimientos de Sanidad, a través de  las evidencias documentales emitidas por los responsables de SST.</t>
  </si>
  <si>
    <r>
      <rPr>
        <sz val="12"/>
        <rFont val="Arial"/>
        <family val="2"/>
      </rPr>
      <t>El líder de seguridad y salud de trabajo de la DIGSA, y los responsables de SST de la DISAN y JEFSA, realizan retroalimentación mediante oficio remisorio, correo electrónico, radiograma, videconferencia, al desarrollo de las actividades del SG-SST a los Establecimientos de Sanidad, requiriendo acciones de mejora.</t>
    </r>
    <r>
      <rPr>
        <b/>
        <sz val="12"/>
        <rFont val="Arial"/>
        <family val="2"/>
      </rPr>
      <t>Soporte: De acuerdo a demanda por evidencia halladas en la ejecución de Actividades.</t>
    </r>
  </si>
  <si>
    <t xml:space="preserve">Capacitación periódica a los responsables de Seguridad y Salud en el Trabajo de los ESM 
Obedeciendo al principio de mejora
continua se actualizan los Programas de vigilancia, procedimientos, protocolos y documentación del SG-SST
Comunicación y asesoramiento permanente con la Administradora de Riesgos Laborales. 
Verificación de la implementación de las acciones de mejora establecidas en la retroalimentación al desarrollo de las actividades del SG-SST a los Establecimientos de Sanidad.
</t>
  </si>
  <si>
    <t>Revisión de los controles adoptados y entrega a los entes de control, exponiendo todas las acciones y medidas implementadas en el marco del Sistema de Gestión de Seguridad y Salud en el Trabajo, indicando que la materialización del riesgo se dió de forma fortuita, según sea el caso.
Corresponsabilidad (acción de repetición) a partir del Líder del SG-SST DIGSA, Lider SST DISAN/JEFSA y Responsable SST ESM</t>
  </si>
  <si>
    <t>El responsable del procedimiento para pago de seguridad social verifica mensualmente los descuentos de aportes a salud, pensión y fondo de solidaridad descontados por nómina vs lo que liquida el módulo de autoliquidación de Kactus, confirmar que sean valores iguales y procede a revisar los valores totales por entidades que sean iguales entre los archivos enviados por nómina (magnéticos) y los generados en el módulo de reportes por entidades del Programa Kactus.</t>
  </si>
  <si>
    <t>El responsable del procedimiento para pago de seguridad social  debe asegurar el pago de la PILA según la normatividad vigente, hasta el día 12 hábil del siguiente mes, para evitar el pago de intereses por pago extemporáneo, para lo cual el responsable del procedimiento de pago de seguridad social genera reporte de la planilla integradora para el pago de la seguridad social  el cual se reporta dentro de los cinco primeros días hábiles de cada mes al grupo de financiera para respectivos pago dentro de las fechas establecidas.</t>
  </si>
  <si>
    <r>
      <t>El Área de Tesorería realiza cruce y conciliación de los valores a pagar en la planilla, si la conciliación arroja errores se devuelve para corrección y si está acorde se realiza el proceso de pago. En caso de reporte de errores el responsable del procedimiento de pago seguridad social realiza revisión y ajuste de las novedades presentadas y genera nuevamente el reporte de planilla a el grupo de financiera.</t>
    </r>
    <r>
      <rPr>
        <b/>
        <sz val="12"/>
        <color theme="1"/>
        <rFont val="Arial"/>
        <family val="2"/>
      </rPr>
      <t xml:space="preserve"> Soporte de Control: Conciliación trimestral de seguridad social.</t>
    </r>
  </si>
  <si>
    <t xml:space="preserve">
OBJ. 2. Gestionar la sostenibilidad y el riesgo financiero del SSFM.
Realizar la verificación de los pagos mensuales generado CACTUC vs  operador PILA, acorde a los controles establecidos</t>
  </si>
  <si>
    <t xml:space="preserve">El responsable de liquidación de aporte en salud, informa al Coordinador grupo de talento humano, sobre las inconsistencias en la liquidación de la Pila, quien a su vez comunica al subdirector administrativo y financiero para realizar los trámites respectivos para el pago.
El responsable de pago de pila, en cado de extemporaneidad de pago, debe solicitar una adición al CDP al grupo financiero para realizar el respectivo pago.
El Coordinador del grupo de trabajo de talento humano debe realizar proceso administrativo para verificar la responsabilidad.
</t>
  </si>
  <si>
    <t>Posibilidad de afectación económica y reputacional por queja del servidor público, pago intereses moratorios y procesos disciplinarios debido a las inconsistencias de las  deducciones del pago de la Pila,  falta de registro de novedades, demora del suministro de información por parte de los procesos y errores en el proceso de afiliación al Sistema de Seguridad Social Integral.</t>
  </si>
  <si>
    <t>Identificar aquellos factores que generan riesgo al momento del registro de novedades y que generan inconsistencias en la liquidación de la Pila.</t>
  </si>
  <si>
    <t xml:space="preserve">1. Negligencia del servidor público para cumplir con los lineamientos y o el procedimiento establecido. 
2. Demora en el suministro de novedades por parte de los procesos (Vacaciones, Licencias, Recargos, Incapacidades, Embargos, Libranzas) 
3.Verificación de las novedades reportadas por las áreas Carrera, rurales, Vacaciones y Retiro de ingresos, retiros y ausentismos.
4.  inconsistencias de las afiliaciones en EPS,AFP y ARL y CCF
</t>
  </si>
  <si>
    <t xml:space="preserve">1. Reprocesos en la liquidación de pago de la Planilla integrada de liquidación de aportes - Pila.  
2. Retraso en el pago de la Planilla integrada de liquidación de aportes. 
3. Incumplimiento en el cronograma establecido para el pago de la Planilla integrada de liquidación de aportes. 
4, Rechazo de la afiliación al Sistema General de Seguridad Social por documentación incompleta y mal diligenciamiento en el momento de realizar las afiliaciones.
5.  Negación de servicios de atención a los afiliados.
</t>
  </si>
  <si>
    <t xml:space="preserve">OBJ. 2. Gestionar la sostenibilidad y el riesgo financiero del SSFM.
El responsable de nómina realiza mensualmente la verificación de las novedades incluidas por la persona de apoyo, con el fin de establecer posibles errores al ingreso de las mismas, en caso de identificación se procede a realizar los ajustes dentro de los sistemas de información.
</t>
  </si>
  <si>
    <t>Posibilidad de afectación económica y reputacional por gestión inadecuada de la caja menor debido a la no aplicación de los lineamientos establecidos para el manejo de la misma.</t>
  </si>
  <si>
    <t xml:space="preserve">
Posibilidad de afectación económica y reputacional por sanciones administrativas en desacato a ordenes judiciales debido a las respuestas extemporáneas de las acciones constitucionales.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</si>
</sst>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4" x14ac:knownFonts="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11"/>
      <name val="Arial"/>
      <family val="2"/>
    </font>
    <font>
      <sz val="11"/>
      <color theme="1"/>
      <name val="Arial"/>
      <family val="2"/>
    </font>
    <font>
      <sz val="22"/>
      <color theme="1"/>
      <name val="Arial"/>
      <family val="2"/>
    </font>
    <font>
      <sz val="10"/>
      <color theme="1"/>
      <name val="Arial"/>
      <family val="2"/>
    </font>
    <font>
      <b/>
      <sz val="11"/>
      <color theme="9" tint="-0.249977111117893"/>
      <name val="Arial"/>
      <family val="2"/>
    </font>
    <font>
      <sz val="8"/>
      <color theme="1"/>
      <name val="Arial"/>
      <family val="2"/>
    </font>
    <font>
      <sz val="9"/>
      <color theme="1"/>
      <name val="Arial"/>
      <family val="2"/>
    </font>
    <font>
      <sz val="9"/>
      <color rgb="FFFFFFFF"/>
      <name val="Arial"/>
      <family val="2"/>
    </font>
    <font>
      <sz val="9"/>
      <color rgb="FF000000"/>
      <name val="Arial"/>
      <family val="2"/>
    </font>
    <font>
      <b/>
      <sz val="12"/>
      <color theme="1"/>
      <name val="Arial"/>
      <family val="2"/>
    </font>
    <font>
      <sz val="8"/>
      <name val="Arial"/>
      <family val="2"/>
    </font>
    <font>
      <sz val="9"/>
      <name val="Arial"/>
      <family val="2"/>
    </font>
    <font>
      <sz val="11"/>
      <color rgb="FF0070C0"/>
      <name val="Arial"/>
      <family val="2"/>
    </font>
    <font>
      <sz val="12"/>
      <color theme="1"/>
      <name val="Arial"/>
      <family val="2"/>
    </font>
    <font>
      <sz val="12"/>
      <name val="Arial"/>
      <family val="2"/>
    </font>
    <font>
      <sz val="12"/>
      <color theme="9" tint="-0.249977111117893"/>
      <name val="Arial"/>
      <family val="2"/>
    </font>
    <font>
      <u/>
      <sz val="12"/>
      <name val="Arial"/>
      <family val="2"/>
    </font>
    <font>
      <sz val="16"/>
      <name val="Arial"/>
      <family val="2"/>
    </font>
    <font>
      <b/>
      <sz val="12"/>
      <name val="Arial"/>
      <family val="2"/>
    </font>
  </fonts>
  <fills count="19">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F5496"/>
        <bgColor indexed="64"/>
      </patternFill>
    </fill>
    <fill>
      <patternFill patternType="solid">
        <fgColor theme="3"/>
        <bgColor indexed="64"/>
      </patternFill>
    </fill>
    <fill>
      <patternFill patternType="solid">
        <fgColor theme="9" tint="-0.249977111117893"/>
        <bgColor indexed="64"/>
      </patternFill>
    </fill>
    <fill>
      <patternFill patternType="solid">
        <fgColor theme="4" tint="0.39997558519241921"/>
        <bgColor indexed="64"/>
      </patternFill>
    </fill>
  </fills>
  <borders count="10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dashed">
        <color theme="4" tint="-0.24994659260841701"/>
      </left>
      <right style="dashed">
        <color theme="4" tint="-0.24994659260841701"/>
      </right>
      <top style="dashed">
        <color theme="4" tint="-0.24994659260841701"/>
      </top>
      <bottom style="dashed">
        <color theme="4" tint="-0.24994659260841701"/>
      </bottom>
      <diagonal/>
    </border>
    <border>
      <left style="thin">
        <color auto="1"/>
      </left>
      <right/>
      <top/>
      <bottom style="thin">
        <color auto="1"/>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diagonal/>
    </border>
    <border>
      <left style="dashed">
        <color theme="1"/>
      </left>
      <right style="dashed">
        <color theme="1"/>
      </right>
      <top/>
      <bottom style="dashed">
        <color theme="1"/>
      </bottom>
      <diagonal/>
    </border>
    <border>
      <left style="dashed">
        <color theme="1"/>
      </left>
      <right style="dashed">
        <color theme="1"/>
      </right>
      <top/>
      <bottom/>
      <diagonal/>
    </border>
    <border>
      <left/>
      <right style="medium">
        <color rgb="FF00B0F0"/>
      </right>
      <top/>
      <bottom style="medium">
        <color rgb="FF00B0F0"/>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4472C4"/>
      </left>
      <right style="medium">
        <color rgb="FF4472C4"/>
      </right>
      <top/>
      <bottom style="medium">
        <color rgb="FF4472C4"/>
      </bottom>
      <diagonal/>
    </border>
    <border>
      <left/>
      <right style="medium">
        <color rgb="FF4472C4"/>
      </right>
      <top/>
      <bottom style="medium">
        <color rgb="FF4472C4"/>
      </bottom>
      <diagonal/>
    </border>
    <border>
      <left style="medium">
        <color indexed="64"/>
      </left>
      <right style="medium">
        <color indexed="64"/>
      </right>
      <top/>
      <bottom style="medium">
        <color indexed="64"/>
      </bottom>
      <diagonal/>
    </border>
    <border>
      <left/>
      <right style="medium">
        <color rgb="FF00B0F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dashed">
        <color theme="1"/>
      </left>
      <right/>
      <top style="dashed">
        <color theme="1"/>
      </top>
      <bottom/>
      <diagonal/>
    </border>
    <border>
      <left style="dashed">
        <color theme="1"/>
      </left>
      <right/>
      <top/>
      <bottom/>
      <diagonal/>
    </border>
    <border>
      <left style="dashed">
        <color theme="1"/>
      </left>
      <right/>
      <top/>
      <bottom style="dashed">
        <color theme="1"/>
      </bottom>
      <diagonal/>
    </border>
    <border>
      <left/>
      <right/>
      <top style="dashed">
        <color theme="1"/>
      </top>
      <bottom/>
      <diagonal/>
    </border>
    <border>
      <left/>
      <right/>
      <top/>
      <bottom style="dashed">
        <color theme="1"/>
      </bottom>
      <diagonal/>
    </border>
    <border>
      <left style="dashed">
        <color theme="4" tint="-0.24994659260841701"/>
      </left>
      <right style="dashed">
        <color theme="1"/>
      </right>
      <top style="dashed">
        <color theme="4" tint="-0.24994659260841701"/>
      </top>
      <bottom/>
      <diagonal/>
    </border>
    <border>
      <left style="dashed">
        <color theme="4" tint="-0.24994659260841701"/>
      </left>
      <right style="dashed">
        <color theme="1"/>
      </right>
      <top/>
      <bottom/>
      <diagonal/>
    </border>
    <border>
      <left style="dashed">
        <color theme="4" tint="-0.24994659260841701"/>
      </left>
      <right style="dashed">
        <color theme="1"/>
      </right>
      <top/>
      <bottom style="dashed">
        <color theme="4" tint="-0.24994659260841701"/>
      </bottom>
      <diagonal/>
    </border>
    <border>
      <left style="dashed">
        <color theme="1"/>
      </left>
      <right style="dashed">
        <color theme="4" tint="-0.24994659260841701"/>
      </right>
      <top style="dashed">
        <color theme="4" tint="-0.24994659260841701"/>
      </top>
      <bottom/>
      <diagonal/>
    </border>
    <border>
      <left style="dashed">
        <color theme="1"/>
      </left>
      <right style="dashed">
        <color theme="4" tint="-0.24994659260841701"/>
      </right>
      <top/>
      <bottom/>
      <diagonal/>
    </border>
    <border>
      <left style="dashed">
        <color theme="1"/>
      </left>
      <right style="dashed">
        <color theme="4" tint="-0.24994659260841701"/>
      </right>
      <top/>
      <bottom style="dashed">
        <color theme="4" tint="-0.24994659260841701"/>
      </bottom>
      <diagonal/>
    </border>
    <border>
      <left style="hair">
        <color theme="1"/>
      </left>
      <right style="hair">
        <color theme="1"/>
      </right>
      <top style="hair">
        <color theme="1"/>
      </top>
      <bottom style="hair">
        <color theme="1"/>
      </bottom>
      <diagonal/>
    </border>
    <border>
      <left style="dashed">
        <color theme="1"/>
      </left>
      <right/>
      <top style="dashed">
        <color theme="1"/>
      </top>
      <bottom style="dashed">
        <color theme="1"/>
      </bottom>
      <diagonal/>
    </border>
    <border>
      <left style="hair">
        <color theme="1"/>
      </left>
      <right style="hair">
        <color theme="1"/>
      </right>
      <top style="hair">
        <color theme="1"/>
      </top>
      <bottom/>
      <diagonal/>
    </border>
    <border>
      <left style="hair">
        <color theme="1"/>
      </left>
      <right style="hair">
        <color theme="1"/>
      </right>
      <top/>
      <bottom/>
      <diagonal/>
    </border>
    <border>
      <left style="hair">
        <color theme="1"/>
      </left>
      <right style="hair">
        <color theme="1"/>
      </right>
      <top/>
      <bottom style="hair">
        <color theme="1"/>
      </bottom>
      <diagonal/>
    </border>
    <border>
      <left style="dotted">
        <color theme="1"/>
      </left>
      <right style="dotted">
        <color theme="1"/>
      </right>
      <top style="dotted">
        <color theme="1"/>
      </top>
      <bottom/>
      <diagonal/>
    </border>
    <border>
      <left style="dotted">
        <color theme="1"/>
      </left>
      <right style="dotted">
        <color theme="1"/>
      </right>
      <top/>
      <bottom/>
      <diagonal/>
    </border>
    <border>
      <left style="dotted">
        <color theme="1"/>
      </left>
      <right style="dotted">
        <color theme="1"/>
      </right>
      <top/>
      <bottom style="dotted">
        <color theme="1"/>
      </bottom>
      <diagonal/>
    </border>
    <border>
      <left style="dotted">
        <color theme="1"/>
      </left>
      <right style="dotted">
        <color theme="1"/>
      </right>
      <top style="dotted">
        <color theme="1"/>
      </top>
      <bottom style="dotted">
        <color theme="1"/>
      </bottom>
      <diagonal/>
    </border>
  </borders>
  <cellStyleXfs count="6">
    <xf numFmtId="0" fontId="0" fillId="0" borderId="0"/>
    <xf numFmtId="9" fontId="12" fillId="0" borderId="0" applyFont="0" applyFill="0" applyBorder="0" applyAlignment="0" applyProtection="0"/>
    <xf numFmtId="0" fontId="44" fillId="0" borderId="0"/>
    <xf numFmtId="0" fontId="45" fillId="0" borderId="0"/>
    <xf numFmtId="0" fontId="4" fillId="0" borderId="0"/>
    <xf numFmtId="0" fontId="44" fillId="0" borderId="0"/>
  </cellStyleXfs>
  <cellXfs count="587">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5" borderId="0" xfId="0" applyFont="1" applyFill="1" applyAlignment="1">
      <alignment horizontal="center" vertical="center" wrapText="1" readingOrder="1"/>
    </xf>
    <xf numFmtId="0" fontId="8" fillId="4"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6"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9" fillId="8" borderId="1" xfId="0" applyFont="1" applyFill="1" applyBorder="1" applyAlignment="1">
      <alignment horizontal="center" vertical="center" wrapText="1" readingOrder="1"/>
    </xf>
    <xf numFmtId="0" fontId="13" fillId="0" borderId="0" xfId="0" applyFont="1"/>
    <xf numFmtId="0" fontId="11" fillId="0" borderId="0" xfId="0" applyFont="1"/>
    <xf numFmtId="0" fontId="25" fillId="0" borderId="0" xfId="0" applyFont="1" applyAlignment="1">
      <alignment vertical="center"/>
    </xf>
    <xf numFmtId="0" fontId="26" fillId="0" borderId="0" xfId="0" applyFont="1"/>
    <xf numFmtId="0" fontId="24" fillId="0" borderId="0" xfId="0" applyFont="1"/>
    <xf numFmtId="0" fontId="0" fillId="0" borderId="0" xfId="0" pivotButton="1"/>
    <xf numFmtId="0" fontId="10" fillId="0" borderId="0" xfId="0" applyFont="1" applyAlignment="1">
      <alignment horizontal="justify" vertical="center" wrapText="1" readingOrder="1"/>
    </xf>
    <xf numFmtId="0" fontId="27" fillId="0" borderId="0" xfId="0" applyFont="1"/>
    <xf numFmtId="0" fontId="29" fillId="5" borderId="0" xfId="0" applyFont="1" applyFill="1" applyAlignment="1">
      <alignment horizontal="center" vertical="center" wrapText="1" readingOrder="1"/>
    </xf>
    <xf numFmtId="0" fontId="30" fillId="0" borderId="4" xfId="0" applyFont="1" applyBorder="1" applyAlignment="1">
      <alignment horizontal="justify" vertical="center" wrapText="1" readingOrder="1"/>
    </xf>
    <xf numFmtId="0" fontId="30" fillId="0" borderId="1" xfId="0" applyFont="1" applyBorder="1" applyAlignment="1">
      <alignment horizontal="justify" vertical="center" wrapText="1" readingOrder="1"/>
    </xf>
    <xf numFmtId="0" fontId="30" fillId="4" borderId="4" xfId="0" applyFont="1" applyFill="1" applyBorder="1" applyAlignment="1">
      <alignment horizontal="center" vertical="center" wrapText="1" readingOrder="1"/>
    </xf>
    <xf numFmtId="0" fontId="30" fillId="6" borderId="1" xfId="0" applyFont="1" applyFill="1" applyBorder="1" applyAlignment="1">
      <alignment horizontal="center" vertical="center" wrapText="1" readingOrder="1"/>
    </xf>
    <xf numFmtId="0" fontId="30" fillId="3" borderId="1" xfId="0" applyFont="1" applyFill="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31" fillId="8" borderId="1" xfId="0" applyFont="1" applyFill="1" applyBorder="1" applyAlignment="1">
      <alignment horizontal="center" vertical="center" wrapText="1" readingOrder="1"/>
    </xf>
    <xf numFmtId="0" fontId="30" fillId="0" borderId="4" xfId="0" applyFont="1" applyBorder="1" applyAlignment="1">
      <alignment horizontal="center" vertical="center" wrapText="1" readingOrder="1"/>
    </xf>
    <xf numFmtId="0" fontId="30" fillId="0" borderId="1" xfId="0" applyFont="1" applyBorder="1" applyAlignment="1">
      <alignment horizontal="center" vertical="center" wrapText="1" readingOrder="1"/>
    </xf>
    <xf numFmtId="0" fontId="17" fillId="10" borderId="5" xfId="0" applyFont="1" applyFill="1" applyBorder="1" applyAlignment="1" applyProtection="1">
      <alignment horizontal="center" vertical="center" wrapText="1" readingOrder="1"/>
      <protection hidden="1"/>
    </xf>
    <xf numFmtId="0" fontId="17" fillId="10" borderId="12" xfId="0" applyFont="1" applyFill="1" applyBorder="1" applyAlignment="1" applyProtection="1">
      <alignment horizontal="center" vertical="center" wrapText="1" readingOrder="1"/>
      <protection hidden="1"/>
    </xf>
    <xf numFmtId="0" fontId="17" fillId="10" borderId="6" xfId="0" applyFont="1" applyFill="1" applyBorder="1" applyAlignment="1" applyProtection="1">
      <alignment horizontal="center" vertical="center" wrapText="1" readingOrder="1"/>
      <protection hidden="1"/>
    </xf>
    <xf numFmtId="0" fontId="17" fillId="11" borderId="5" xfId="0" applyFont="1" applyFill="1" applyBorder="1" applyAlignment="1" applyProtection="1">
      <alignment horizontal="center" wrapText="1" readingOrder="1"/>
      <protection hidden="1"/>
    </xf>
    <xf numFmtId="0" fontId="17" fillId="11" borderId="12" xfId="0" applyFont="1" applyFill="1" applyBorder="1" applyAlignment="1" applyProtection="1">
      <alignment horizontal="center" wrapText="1" readingOrder="1"/>
      <protection hidden="1"/>
    </xf>
    <xf numFmtId="0" fontId="17" fillId="11" borderId="6" xfId="0" applyFont="1" applyFill="1" applyBorder="1" applyAlignment="1" applyProtection="1">
      <alignment horizontal="center" wrapText="1" readingOrder="1"/>
      <protection hidden="1"/>
    </xf>
    <xf numFmtId="0" fontId="17" fillId="10" borderId="7" xfId="0" applyFont="1" applyFill="1" applyBorder="1" applyAlignment="1" applyProtection="1">
      <alignment horizontal="center" vertical="center" wrapText="1" readingOrder="1"/>
      <protection hidden="1"/>
    </xf>
    <xf numFmtId="0" fontId="17" fillId="10" borderId="0" xfId="0" applyFont="1" applyFill="1" applyAlignment="1" applyProtection="1">
      <alignment horizontal="center" vertical="center" wrapText="1" readingOrder="1"/>
      <protection hidden="1"/>
    </xf>
    <xf numFmtId="0" fontId="17" fillId="10" borderId="8" xfId="0" applyFont="1" applyFill="1" applyBorder="1" applyAlignment="1" applyProtection="1">
      <alignment horizontal="center" vertical="center" wrapText="1" readingOrder="1"/>
      <protection hidden="1"/>
    </xf>
    <xf numFmtId="0" fontId="17" fillId="11" borderId="7" xfId="0" applyFont="1" applyFill="1" applyBorder="1" applyAlignment="1" applyProtection="1">
      <alignment horizontal="center" wrapText="1" readingOrder="1"/>
      <protection hidden="1"/>
    </xf>
    <xf numFmtId="0" fontId="17" fillId="11" borderId="0" xfId="0" applyFont="1" applyFill="1" applyAlignment="1" applyProtection="1">
      <alignment horizontal="center" wrapText="1" readingOrder="1"/>
      <protection hidden="1"/>
    </xf>
    <xf numFmtId="0" fontId="17" fillId="11" borderId="8" xfId="0" applyFont="1" applyFill="1" applyBorder="1" applyAlignment="1" applyProtection="1">
      <alignment horizontal="center" wrapText="1" readingOrder="1"/>
      <protection hidden="1"/>
    </xf>
    <xf numFmtId="0" fontId="17" fillId="10" borderId="9" xfId="0" applyFont="1" applyFill="1" applyBorder="1" applyAlignment="1" applyProtection="1">
      <alignment horizontal="center" vertical="center" wrapText="1" readingOrder="1"/>
      <protection hidden="1"/>
    </xf>
    <xf numFmtId="0" fontId="17" fillId="10" borderId="11" xfId="0" applyFont="1" applyFill="1" applyBorder="1" applyAlignment="1" applyProtection="1">
      <alignment horizontal="center" vertical="center" wrapText="1" readingOrder="1"/>
      <protection hidden="1"/>
    </xf>
    <xf numFmtId="0" fontId="17" fillId="10" borderId="10" xfId="0" applyFont="1" applyFill="1" applyBorder="1" applyAlignment="1" applyProtection="1">
      <alignment horizontal="center" vertical="center" wrapText="1" readingOrder="1"/>
      <protection hidden="1"/>
    </xf>
    <xf numFmtId="0" fontId="17" fillId="11" borderId="9" xfId="0" applyFont="1" applyFill="1" applyBorder="1" applyAlignment="1" applyProtection="1">
      <alignment horizontal="center" wrapText="1" readingOrder="1"/>
      <protection hidden="1"/>
    </xf>
    <xf numFmtId="0" fontId="17" fillId="11" borderId="11" xfId="0" applyFont="1" applyFill="1" applyBorder="1" applyAlignment="1" applyProtection="1">
      <alignment horizontal="center" wrapText="1" readingOrder="1"/>
      <protection hidden="1"/>
    </xf>
    <xf numFmtId="0" fontId="17" fillId="11" borderId="10" xfId="0" applyFont="1" applyFill="1" applyBorder="1" applyAlignment="1" applyProtection="1">
      <alignment horizont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4" borderId="5" xfId="0" applyFont="1" applyFill="1" applyBorder="1" applyAlignment="1" applyProtection="1">
      <alignment horizontal="center" wrapText="1" readingOrder="1"/>
      <protection hidden="1"/>
    </xf>
    <xf numFmtId="0" fontId="17" fillId="4" borderId="12" xfId="0" applyFont="1" applyFill="1" applyBorder="1" applyAlignment="1" applyProtection="1">
      <alignment horizontal="center" wrapText="1" readingOrder="1"/>
      <protection hidden="1"/>
    </xf>
    <xf numFmtId="0" fontId="17" fillId="4" borderId="6" xfId="0" applyFont="1" applyFill="1" applyBorder="1" applyAlignment="1" applyProtection="1">
      <alignment horizontal="center" wrapText="1" readingOrder="1"/>
      <protection hidden="1"/>
    </xf>
    <xf numFmtId="0" fontId="17" fillId="4" borderId="7" xfId="0" applyFont="1" applyFill="1" applyBorder="1" applyAlignment="1" applyProtection="1">
      <alignment horizontal="center" wrapText="1" readingOrder="1"/>
      <protection hidden="1"/>
    </xf>
    <xf numFmtId="0" fontId="17" fillId="4" borderId="0" xfId="0" applyFont="1" applyFill="1" applyAlignment="1" applyProtection="1">
      <alignment horizontal="center" wrapText="1" readingOrder="1"/>
      <protection hidden="1"/>
    </xf>
    <xf numFmtId="0" fontId="17" fillId="4" borderId="8" xfId="0" applyFont="1" applyFill="1" applyBorder="1" applyAlignment="1" applyProtection="1">
      <alignment horizontal="center" wrapText="1" readingOrder="1"/>
      <protection hidden="1"/>
    </xf>
    <xf numFmtId="0" fontId="17" fillId="4" borderId="9" xfId="0" applyFont="1" applyFill="1" applyBorder="1" applyAlignment="1" applyProtection="1">
      <alignment horizontal="center" wrapText="1" readingOrder="1"/>
      <protection hidden="1"/>
    </xf>
    <xf numFmtId="0" fontId="17" fillId="4" borderId="11" xfId="0" applyFont="1" applyFill="1" applyBorder="1" applyAlignment="1" applyProtection="1">
      <alignment horizontal="center" wrapText="1" readingOrder="1"/>
      <protection hidden="1"/>
    </xf>
    <xf numFmtId="0" fontId="17" fillId="4" borderId="10"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0" fillId="2" borderId="0" xfId="0" applyFill="1"/>
    <xf numFmtId="0" fontId="46" fillId="2" borderId="40" xfId="2" applyFont="1" applyFill="1" applyBorder="1"/>
    <xf numFmtId="0" fontId="46" fillId="2" borderId="41" xfId="2" applyFont="1" applyFill="1" applyBorder="1"/>
    <xf numFmtId="0" fontId="46" fillId="2" borderId="42" xfId="2" applyFont="1" applyFill="1" applyBorder="1"/>
    <xf numFmtId="0" fontId="14" fillId="2" borderId="0" xfId="0" applyFont="1" applyFill="1" applyAlignment="1">
      <alignment vertical="center"/>
    </xf>
    <xf numFmtId="0" fontId="4" fillId="2" borderId="0" xfId="0" applyFont="1" applyFill="1"/>
    <xf numFmtId="0" fontId="33" fillId="2" borderId="0" xfId="0" applyFont="1" applyFill="1"/>
    <xf numFmtId="0" fontId="34" fillId="2" borderId="23" xfId="0" applyFont="1" applyFill="1" applyBorder="1" applyAlignment="1">
      <alignment horizontal="center" vertical="center" wrapText="1" readingOrder="1"/>
    </xf>
    <xf numFmtId="0" fontId="35" fillId="2" borderId="23" xfId="0" applyFont="1" applyFill="1" applyBorder="1" applyAlignment="1">
      <alignment horizontal="justify" vertical="center" wrapText="1" readingOrder="1"/>
    </xf>
    <xf numFmtId="9" fontId="34" fillId="2" borderId="32" xfId="0" applyNumberFormat="1" applyFont="1" applyFill="1" applyBorder="1" applyAlignment="1">
      <alignment horizontal="center" vertical="center" wrapText="1" readingOrder="1"/>
    </xf>
    <xf numFmtId="0" fontId="34" fillId="2" borderId="22" xfId="0" applyFont="1" applyFill="1" applyBorder="1" applyAlignment="1">
      <alignment horizontal="center" vertical="center" wrapText="1" readingOrder="1"/>
    </xf>
    <xf numFmtId="0" fontId="35" fillId="2" borderId="22" xfId="0" applyFont="1" applyFill="1" applyBorder="1" applyAlignment="1">
      <alignment horizontal="justify" vertical="center" wrapText="1" readingOrder="1"/>
    </xf>
    <xf numFmtId="9" fontId="34" fillId="2" borderId="27" xfId="0" applyNumberFormat="1" applyFont="1" applyFill="1" applyBorder="1" applyAlignment="1">
      <alignment horizontal="center" vertical="center" wrapText="1" readingOrder="1"/>
    </xf>
    <xf numFmtId="0" fontId="35" fillId="2" borderId="27" xfId="0" applyFont="1" applyFill="1" applyBorder="1" applyAlignment="1">
      <alignment horizontal="center" vertical="center" wrapText="1" readingOrder="1"/>
    </xf>
    <xf numFmtId="0" fontId="34" fillId="2" borderId="29" xfId="0" applyFont="1" applyFill="1" applyBorder="1" applyAlignment="1">
      <alignment horizontal="center" vertical="center" wrapText="1" readingOrder="1"/>
    </xf>
    <xf numFmtId="0" fontId="35" fillId="2" borderId="29" xfId="0" applyFont="1" applyFill="1" applyBorder="1" applyAlignment="1">
      <alignment horizontal="justify" vertical="center" wrapText="1" readingOrder="1"/>
    </xf>
    <xf numFmtId="0" fontId="35" fillId="2" borderId="30" xfId="0" applyFont="1" applyFill="1" applyBorder="1" applyAlignment="1">
      <alignment horizontal="center" vertical="center" wrapText="1" readingOrder="1"/>
    </xf>
    <xf numFmtId="0" fontId="43" fillId="2" borderId="0" xfId="0" applyFont="1" applyFill="1"/>
    <xf numFmtId="0" fontId="34" fillId="14" borderId="34" xfId="0" applyFont="1" applyFill="1" applyBorder="1" applyAlignment="1">
      <alignment horizontal="center" vertical="center" wrapText="1" readingOrder="1"/>
    </xf>
    <xf numFmtId="0" fontId="34" fillId="14" borderId="35" xfId="0" applyFont="1" applyFill="1" applyBorder="1" applyAlignment="1">
      <alignment horizontal="center" vertical="center" wrapText="1" readingOrder="1"/>
    </xf>
    <xf numFmtId="0" fontId="11" fillId="2" borderId="0" xfId="0" applyFont="1" applyFill="1"/>
    <xf numFmtId="0" fontId="28" fillId="2" borderId="0" xfId="0" applyFont="1" applyFill="1" applyAlignment="1">
      <alignment horizontal="center" vertical="center" wrapText="1"/>
    </xf>
    <xf numFmtId="0" fontId="10" fillId="2" borderId="0" xfId="0" applyFont="1" applyFill="1" applyAlignment="1">
      <alignment horizontal="justify" vertical="center" wrapText="1" readingOrder="1"/>
    </xf>
    <xf numFmtId="0" fontId="3" fillId="2" borderId="0" xfId="0" applyFont="1" applyFill="1" applyAlignment="1">
      <alignment vertical="center"/>
    </xf>
    <xf numFmtId="0" fontId="13" fillId="2" borderId="0" xfId="0" applyFont="1" applyFill="1"/>
    <xf numFmtId="0" fontId="3" fillId="2" borderId="0" xfId="0" applyFont="1" applyFill="1" applyAlignment="1">
      <alignment horizontal="left" vertical="center"/>
    </xf>
    <xf numFmtId="0" fontId="46" fillId="2" borderId="7" xfId="2" applyFont="1" applyFill="1" applyBorder="1"/>
    <xf numFmtId="0" fontId="51" fillId="2" borderId="0" xfId="0" applyFont="1" applyFill="1" applyAlignment="1">
      <alignment horizontal="left" vertical="center" wrapText="1"/>
    </xf>
    <xf numFmtId="0" fontId="52" fillId="2" borderId="0" xfId="0" applyFont="1" applyFill="1" applyAlignment="1">
      <alignment horizontal="left" vertical="top" wrapText="1"/>
    </xf>
    <xf numFmtId="0" fontId="46" fillId="2" borderId="0" xfId="2" applyFont="1" applyFill="1"/>
    <xf numFmtId="0" fontId="46" fillId="2" borderId="8" xfId="2" applyFont="1" applyFill="1" applyBorder="1"/>
    <xf numFmtId="0" fontId="46" fillId="2" borderId="9" xfId="2" applyFont="1" applyFill="1" applyBorder="1"/>
    <xf numFmtId="0" fontId="46" fillId="2" borderId="11" xfId="2" applyFont="1" applyFill="1" applyBorder="1"/>
    <xf numFmtId="0" fontId="46" fillId="2" borderId="10" xfId="2" applyFont="1" applyFill="1" applyBorder="1"/>
    <xf numFmtId="0" fontId="50" fillId="2" borderId="0" xfId="2" applyFont="1" applyFill="1" applyAlignment="1">
      <alignment horizontal="left" vertical="center" wrapText="1"/>
    </xf>
    <xf numFmtId="0" fontId="46" fillId="2" borderId="0" xfId="2" applyFont="1" applyFill="1" applyAlignment="1">
      <alignment horizontal="left" vertical="center" wrapText="1"/>
    </xf>
    <xf numFmtId="0" fontId="46" fillId="2" borderId="0" xfId="2" quotePrefix="1" applyFont="1" applyFill="1" applyAlignment="1">
      <alignment horizontal="left" vertical="center" wrapText="1"/>
    </xf>
    <xf numFmtId="0" fontId="48" fillId="2" borderId="7" xfId="2" quotePrefix="1" applyFont="1" applyFill="1" applyBorder="1" applyAlignment="1">
      <alignment horizontal="left" vertical="top" wrapText="1"/>
    </xf>
    <xf numFmtId="0" fontId="49" fillId="2" borderId="0" xfId="2" quotePrefix="1" applyFont="1" applyFill="1" applyAlignment="1">
      <alignment horizontal="left" vertical="top" wrapText="1"/>
    </xf>
    <xf numFmtId="0" fontId="49" fillId="2" borderId="8" xfId="2" quotePrefix="1" applyFont="1" applyFill="1" applyBorder="1" applyAlignment="1">
      <alignment horizontal="left" vertical="top" wrapText="1"/>
    </xf>
    <xf numFmtId="0" fontId="56" fillId="0" borderId="0" xfId="0" applyFont="1"/>
    <xf numFmtId="0" fontId="56" fillId="2" borderId="0" xfId="0" applyFont="1" applyFill="1"/>
    <xf numFmtId="0" fontId="56" fillId="2" borderId="0" xfId="0" applyFont="1" applyFill="1" applyAlignment="1">
      <alignment horizontal="center" vertical="center"/>
    </xf>
    <xf numFmtId="0" fontId="56" fillId="2" borderId="0" xfId="0" applyFont="1" applyFill="1" applyAlignment="1">
      <alignment horizontal="left" vertical="center"/>
    </xf>
    <xf numFmtId="0" fontId="56" fillId="2" borderId="0" xfId="0" applyFont="1" applyFill="1" applyAlignment="1">
      <alignment horizontal="center"/>
    </xf>
    <xf numFmtId="0" fontId="56" fillId="0" borderId="0" xfId="0" applyFont="1" applyAlignment="1">
      <alignment vertical="center"/>
    </xf>
    <xf numFmtId="0" fontId="56" fillId="0" borderId="3" xfId="0" applyFont="1" applyBorder="1" applyAlignment="1">
      <alignment horizontal="center" vertical="center"/>
    </xf>
    <xf numFmtId="0" fontId="56" fillId="0" borderId="2" xfId="0" applyFont="1" applyBorder="1" applyAlignment="1">
      <alignment horizontal="center" vertical="center"/>
    </xf>
    <xf numFmtId="0" fontId="56" fillId="0" borderId="0" xfId="0" applyFont="1" applyAlignment="1">
      <alignment horizontal="center" vertical="center"/>
    </xf>
    <xf numFmtId="0" fontId="56" fillId="0" borderId="0" xfId="0" applyFont="1" applyAlignment="1">
      <alignment horizontal="center"/>
    </xf>
    <xf numFmtId="0" fontId="60" fillId="0" borderId="0" xfId="0" applyFont="1" applyAlignment="1">
      <alignment horizontal="left" vertical="center"/>
    </xf>
    <xf numFmtId="0" fontId="56" fillId="2" borderId="0" xfId="0" applyFont="1" applyFill="1" applyAlignment="1">
      <alignment vertical="center"/>
    </xf>
    <xf numFmtId="0" fontId="58" fillId="0" borderId="70" xfId="0" applyFont="1" applyBorder="1" applyAlignment="1">
      <alignment horizontal="justify" vertical="center" wrapText="1"/>
    </xf>
    <xf numFmtId="0" fontId="62" fillId="15" borderId="74" xfId="0" applyFont="1" applyFill="1" applyBorder="1" applyAlignment="1">
      <alignment horizontal="center" vertical="center"/>
    </xf>
    <xf numFmtId="0" fontId="62" fillId="15" borderId="75" xfId="0" applyFont="1" applyFill="1" applyBorder="1" applyAlignment="1">
      <alignment horizontal="center" vertical="center"/>
    </xf>
    <xf numFmtId="0" fontId="63" fillId="0" borderId="74" xfId="0" applyFont="1" applyBorder="1" applyAlignment="1">
      <alignment horizontal="center" vertical="center"/>
    </xf>
    <xf numFmtId="0" fontId="63" fillId="0" borderId="75" xfId="0" applyFont="1" applyBorder="1" applyAlignment="1">
      <alignment vertical="center"/>
    </xf>
    <xf numFmtId="0" fontId="63" fillId="0" borderId="75" xfId="0" applyFont="1" applyBorder="1" applyAlignment="1">
      <alignment horizontal="center" vertical="center"/>
    </xf>
    <xf numFmtId="0" fontId="63" fillId="0" borderId="75" xfId="0" applyFont="1" applyBorder="1" applyAlignment="1">
      <alignment vertical="center" wrapText="1"/>
    </xf>
    <xf numFmtId="0" fontId="63" fillId="0" borderId="71" xfId="0" applyFont="1" applyBorder="1" applyAlignment="1">
      <alignment horizontal="center" vertical="center"/>
    </xf>
    <xf numFmtId="0" fontId="63" fillId="0" borderId="73" xfId="0" applyFont="1" applyBorder="1" applyAlignment="1">
      <alignment horizontal="center" vertical="center"/>
    </xf>
    <xf numFmtId="0" fontId="62" fillId="16" borderId="76" xfId="0" applyFont="1" applyFill="1" applyBorder="1" applyAlignment="1">
      <alignment horizontal="center" vertical="center" wrapText="1"/>
    </xf>
    <xf numFmtId="0" fontId="62" fillId="16" borderId="10" xfId="0" applyFont="1" applyFill="1" applyBorder="1" applyAlignment="1">
      <alignment horizontal="center" vertical="center" wrapText="1"/>
    </xf>
    <xf numFmtId="0" fontId="63" fillId="0" borderId="76" xfId="0" applyFont="1" applyBorder="1" applyAlignment="1">
      <alignment vertical="center"/>
    </xf>
    <xf numFmtId="0" fontId="63" fillId="0" borderId="10" xfId="0" applyFont="1" applyBorder="1" applyAlignment="1">
      <alignment vertical="center"/>
    </xf>
    <xf numFmtId="0" fontId="63" fillId="12" borderId="10" xfId="0" applyFont="1" applyFill="1" applyBorder="1" applyAlignment="1">
      <alignment horizontal="center" vertical="center" wrapText="1"/>
    </xf>
    <xf numFmtId="0" fontId="61" fillId="17" borderId="10" xfId="0" applyFont="1" applyFill="1" applyBorder="1" applyAlignment="1">
      <alignment horizontal="center" vertical="center" wrapText="1"/>
    </xf>
    <xf numFmtId="0" fontId="63" fillId="8" borderId="10" xfId="0" applyFont="1" applyFill="1" applyBorder="1" applyAlignment="1">
      <alignment horizontal="center" vertical="center" wrapText="1"/>
    </xf>
    <xf numFmtId="0" fontId="56" fillId="2" borderId="0" xfId="0" applyFont="1" applyFill="1" applyAlignment="1">
      <alignment horizontal="center" vertical="center" wrapText="1"/>
    </xf>
    <xf numFmtId="0" fontId="56" fillId="0" borderId="2" xfId="0" applyFont="1" applyBorder="1" applyAlignment="1">
      <alignment horizontal="center" vertical="center" wrapText="1"/>
    </xf>
    <xf numFmtId="0" fontId="56" fillId="0" borderId="0" xfId="0" applyFont="1" applyAlignment="1">
      <alignment horizontal="center" vertical="center" wrapText="1"/>
    </xf>
    <xf numFmtId="0" fontId="56" fillId="0" borderId="0" xfId="0" applyFont="1" applyAlignment="1">
      <alignment wrapText="1"/>
    </xf>
    <xf numFmtId="0" fontId="56" fillId="2" borderId="0" xfId="0" applyFont="1" applyFill="1" applyAlignment="1">
      <alignment vertical="center" wrapText="1"/>
    </xf>
    <xf numFmtId="0" fontId="56" fillId="0" borderId="0" xfId="0" applyFont="1" applyAlignment="1">
      <alignment vertical="center" wrapText="1"/>
    </xf>
    <xf numFmtId="0" fontId="58" fillId="0" borderId="77" xfId="0" applyFont="1" applyBorder="1" applyAlignment="1">
      <alignment horizontal="justify" vertical="center" wrapText="1"/>
    </xf>
    <xf numFmtId="0" fontId="64" fillId="0" borderId="0" xfId="0" applyFont="1"/>
    <xf numFmtId="0" fontId="55" fillId="0" borderId="22" xfId="5" applyFont="1" applyBorder="1" applyAlignment="1">
      <alignment horizontal="center" vertical="center" wrapText="1"/>
    </xf>
    <xf numFmtId="0" fontId="56" fillId="0" borderId="22" xfId="5" applyFont="1" applyBorder="1" applyAlignment="1">
      <alignment horizontal="center" vertical="center" wrapText="1"/>
    </xf>
    <xf numFmtId="0" fontId="56" fillId="2" borderId="22" xfId="5" applyFont="1" applyFill="1" applyBorder="1" applyAlignment="1">
      <alignment horizontal="center" vertical="center" wrapText="1"/>
    </xf>
    <xf numFmtId="0" fontId="44" fillId="0" borderId="65" xfId="5" applyBorder="1" applyAlignment="1">
      <alignment horizontal="center" vertical="center"/>
    </xf>
    <xf numFmtId="0" fontId="68" fillId="2" borderId="0" xfId="0" applyFont="1" applyFill="1"/>
    <xf numFmtId="0" fontId="69" fillId="2" borderId="40" xfId="2" applyFont="1" applyFill="1" applyBorder="1"/>
    <xf numFmtId="0" fontId="69" fillId="2" borderId="41" xfId="2" applyFont="1" applyFill="1" applyBorder="1"/>
    <xf numFmtId="0" fontId="69" fillId="2" borderId="42" xfId="2" applyFont="1" applyFill="1" applyBorder="1"/>
    <xf numFmtId="0" fontId="71" fillId="2" borderId="7" xfId="2" quotePrefix="1" applyFont="1" applyFill="1" applyBorder="1" applyAlignment="1">
      <alignment horizontal="left" vertical="top" wrapText="1"/>
    </xf>
    <xf numFmtId="0" fontId="69" fillId="2" borderId="0" xfId="2" quotePrefix="1" applyFont="1" applyFill="1" applyAlignment="1">
      <alignment horizontal="left" vertical="top" wrapText="1"/>
    </xf>
    <xf numFmtId="0" fontId="69" fillId="2" borderId="8" xfId="2" quotePrefix="1" applyFont="1" applyFill="1" applyBorder="1" applyAlignment="1">
      <alignment horizontal="left" vertical="top" wrapText="1"/>
    </xf>
    <xf numFmtId="0" fontId="69" fillId="2" borderId="7" xfId="2" applyFont="1" applyFill="1" applyBorder="1"/>
    <xf numFmtId="0" fontId="69" fillId="2" borderId="0" xfId="2" applyFont="1" applyFill="1"/>
    <xf numFmtId="0" fontId="69" fillId="2" borderId="0" xfId="2" applyFont="1" applyFill="1" applyAlignment="1">
      <alignment horizontal="left" vertical="center" wrapText="1"/>
    </xf>
    <xf numFmtId="0" fontId="69" fillId="2" borderId="0" xfId="2" quotePrefix="1" applyFont="1" applyFill="1" applyAlignment="1">
      <alignment horizontal="left" vertical="center" wrapText="1"/>
    </xf>
    <xf numFmtId="0" fontId="69" fillId="2" borderId="8" xfId="2" applyFont="1" applyFill="1" applyBorder="1"/>
    <xf numFmtId="0" fontId="69" fillId="2" borderId="0" xfId="0" applyFont="1" applyFill="1" applyAlignment="1">
      <alignment horizontal="left" vertical="center" wrapText="1"/>
    </xf>
    <xf numFmtId="0" fontId="69" fillId="2" borderId="0" xfId="0" applyFont="1" applyFill="1" applyAlignment="1">
      <alignment horizontal="left" vertical="top" wrapText="1"/>
    </xf>
    <xf numFmtId="0" fontId="69" fillId="2" borderId="9" xfId="2" applyFont="1" applyFill="1" applyBorder="1"/>
    <xf numFmtId="0" fontId="69" fillId="2" borderId="11" xfId="2" applyFont="1" applyFill="1" applyBorder="1"/>
    <xf numFmtId="0" fontId="69" fillId="2" borderId="10" xfId="2" applyFont="1" applyFill="1" applyBorder="1"/>
    <xf numFmtId="0" fontId="68" fillId="0" borderId="0" xfId="0" applyFont="1" applyAlignment="1">
      <alignment horizontal="center" vertical="center"/>
    </xf>
    <xf numFmtId="0" fontId="68" fillId="2" borderId="0" xfId="0" applyFont="1" applyFill="1" applyAlignment="1">
      <alignment vertical="center" wrapText="1"/>
    </xf>
    <xf numFmtId="0" fontId="68" fillId="2" borderId="0" xfId="0" applyFont="1" applyFill="1" applyAlignment="1">
      <alignment horizontal="center" vertical="center" wrapText="1"/>
    </xf>
    <xf numFmtId="0" fontId="68" fillId="2" borderId="0" xfId="0" applyFont="1" applyFill="1" applyAlignment="1">
      <alignment horizontal="center" vertical="center"/>
    </xf>
    <xf numFmtId="0" fontId="68" fillId="0" borderId="0" xfId="0" applyFont="1"/>
    <xf numFmtId="0" fontId="68" fillId="2" borderId="0" xfId="0" applyFont="1" applyFill="1" applyAlignment="1">
      <alignment vertical="center"/>
    </xf>
    <xf numFmtId="0" fontId="68" fillId="0" borderId="66" xfId="0" applyFont="1" applyBorder="1" applyAlignment="1">
      <alignment horizontal="center" vertical="center"/>
    </xf>
    <xf numFmtId="0" fontId="68" fillId="0" borderId="66" xfId="0" applyFont="1" applyBorder="1" applyAlignment="1" applyProtection="1">
      <alignment horizontal="center" vertical="center"/>
      <protection hidden="1"/>
    </xf>
    <xf numFmtId="0" fontId="68" fillId="0" borderId="66" xfId="0" applyFont="1" applyBorder="1" applyAlignment="1" applyProtection="1">
      <alignment horizontal="center" vertical="center" textRotation="90" wrapText="1"/>
      <protection locked="0"/>
    </xf>
    <xf numFmtId="9" fontId="68" fillId="0" borderId="66" xfId="0" applyNumberFormat="1" applyFont="1" applyBorder="1" applyAlignment="1" applyProtection="1">
      <alignment horizontal="center" vertical="center" wrapText="1"/>
      <protection hidden="1"/>
    </xf>
    <xf numFmtId="164" fontId="68" fillId="0" borderId="66" xfId="1" applyNumberFormat="1" applyFont="1" applyBorder="1" applyAlignment="1">
      <alignment horizontal="center" vertical="top"/>
    </xf>
    <xf numFmtId="0" fontId="64" fillId="0" borderId="66" xfId="0" applyFont="1" applyBorder="1" applyAlignment="1" applyProtection="1">
      <alignment horizontal="center" vertical="center" textRotation="90" wrapText="1"/>
      <protection hidden="1"/>
    </xf>
    <xf numFmtId="9" fontId="68" fillId="0" borderId="66" xfId="0" applyNumberFormat="1" applyFont="1" applyBorder="1" applyAlignment="1" applyProtection="1">
      <alignment horizontal="center" vertical="center"/>
      <protection hidden="1"/>
    </xf>
    <xf numFmtId="0" fontId="64" fillId="0" borderId="66" xfId="0" applyFont="1" applyBorder="1" applyAlignment="1" applyProtection="1">
      <alignment horizontal="center" vertical="center" textRotation="90"/>
      <protection hidden="1"/>
    </xf>
    <xf numFmtId="0" fontId="68" fillId="0" borderId="66" xfId="0" applyFont="1" applyBorder="1" applyAlignment="1" applyProtection="1">
      <alignment horizontal="center" vertical="center" textRotation="90"/>
      <protection locked="0"/>
    </xf>
    <xf numFmtId="0" fontId="68" fillId="0" borderId="0" xfId="0" applyFont="1" applyAlignment="1">
      <alignment vertical="center"/>
    </xf>
    <xf numFmtId="0" fontId="68" fillId="0" borderId="66" xfId="0" applyFont="1" applyBorder="1" applyAlignment="1" applyProtection="1">
      <alignment horizontal="justify" vertical="top" wrapText="1"/>
      <protection locked="0"/>
    </xf>
    <xf numFmtId="164" fontId="68" fillId="0" borderId="66" xfId="1" applyNumberFormat="1" applyFont="1" applyBorder="1" applyAlignment="1">
      <alignment horizontal="center" vertical="center"/>
    </xf>
    <xf numFmtId="164" fontId="68" fillId="8" borderId="66" xfId="1" applyNumberFormat="1" applyFont="1" applyFill="1" applyBorder="1" applyAlignment="1">
      <alignment horizontal="center" vertical="center"/>
    </xf>
    <xf numFmtId="0" fontId="68" fillId="0" borderId="66" xfId="0" applyFont="1" applyBorder="1" applyAlignment="1" applyProtection="1">
      <alignment horizontal="justify" vertical="top"/>
      <protection locked="0"/>
    </xf>
    <xf numFmtId="164" fontId="68" fillId="8" borderId="66" xfId="1" applyNumberFormat="1" applyFont="1" applyFill="1" applyBorder="1" applyAlignment="1">
      <alignment horizontal="center" vertical="top"/>
    </xf>
    <xf numFmtId="0" fontId="63" fillId="0" borderId="0" xfId="0" applyFont="1" applyAlignment="1">
      <alignment vertical="center"/>
    </xf>
    <xf numFmtId="0" fontId="62" fillId="16" borderId="0" xfId="0" applyFont="1" applyFill="1" applyAlignment="1">
      <alignment horizontal="center" vertical="center"/>
    </xf>
    <xf numFmtId="0" fontId="62" fillId="16" borderId="0" xfId="0" applyFont="1" applyFill="1" applyAlignment="1">
      <alignment horizontal="center" vertical="center" wrapText="1"/>
    </xf>
    <xf numFmtId="0" fontId="63" fillId="12" borderId="0" xfId="0" applyFont="1" applyFill="1" applyAlignment="1">
      <alignment horizontal="center" vertical="center" wrapText="1"/>
    </xf>
    <xf numFmtId="0" fontId="61" fillId="17" borderId="0" xfId="0" applyFont="1" applyFill="1" applyAlignment="1">
      <alignment horizontal="center" vertical="center" wrapText="1"/>
    </xf>
    <xf numFmtId="0" fontId="63" fillId="8" borderId="0" xfId="0" applyFont="1" applyFill="1" applyAlignment="1">
      <alignment horizontal="center" vertical="center" wrapText="1"/>
    </xf>
    <xf numFmtId="0" fontId="68" fillId="0" borderId="66" xfId="0" applyFont="1" applyBorder="1" applyAlignment="1" applyProtection="1">
      <alignment horizontal="justify" vertical="center" wrapText="1"/>
      <protection locked="0"/>
    </xf>
    <xf numFmtId="0" fontId="69" fillId="0" borderId="66" xfId="0" applyFont="1" applyBorder="1" applyAlignment="1" applyProtection="1">
      <alignment horizontal="justify" vertical="center" wrapText="1"/>
      <protection locked="0"/>
    </xf>
    <xf numFmtId="0" fontId="68" fillId="0" borderId="22" xfId="0" applyFont="1" applyBorder="1" applyAlignment="1" applyProtection="1">
      <alignment horizontal="justify" vertical="center" wrapText="1"/>
      <protection locked="0"/>
    </xf>
    <xf numFmtId="0" fontId="68" fillId="0" borderId="22" xfId="0" applyFont="1" applyBorder="1" applyAlignment="1" applyProtection="1">
      <alignment horizontal="center" vertical="center" textRotation="90" wrapText="1"/>
      <protection locked="0"/>
    </xf>
    <xf numFmtId="0" fontId="69" fillId="0" borderId="66" xfId="0" applyFont="1" applyBorder="1" applyAlignment="1" applyProtection="1">
      <alignment horizontal="center" vertical="center" textRotation="90" wrapText="1"/>
      <protection locked="0"/>
    </xf>
    <xf numFmtId="0" fontId="68" fillId="0" borderId="97" xfId="0" applyFont="1" applyBorder="1" applyAlignment="1" applyProtection="1">
      <alignment horizontal="center" vertical="center" textRotation="90"/>
      <protection locked="0"/>
    </xf>
    <xf numFmtId="0" fontId="64" fillId="0" borderId="66" xfId="0" applyFont="1" applyBorder="1" applyAlignment="1">
      <alignment horizontal="center" vertical="center" textRotation="90" wrapText="1"/>
    </xf>
    <xf numFmtId="0" fontId="56" fillId="0" borderId="104" xfId="0" applyFont="1" applyBorder="1"/>
    <xf numFmtId="0" fontId="69" fillId="0" borderId="66" xfId="0" applyFont="1" applyBorder="1" applyAlignment="1" applyProtection="1">
      <alignment horizontal="justify" vertical="top" wrapText="1"/>
      <protection locked="0"/>
    </xf>
    <xf numFmtId="0" fontId="68" fillId="0" borderId="78" xfId="0" applyFont="1" applyBorder="1" applyAlignment="1" applyProtection="1">
      <alignment horizontal="center" vertical="center" textRotation="90"/>
      <protection locked="0"/>
    </xf>
    <xf numFmtId="0" fontId="67" fillId="0" borderId="78" xfId="5" applyFont="1" applyBorder="1" applyAlignment="1">
      <alignment horizontal="left" vertical="top" wrapText="1"/>
    </xf>
    <xf numFmtId="0" fontId="67" fillId="0" borderId="79" xfId="5" applyFont="1" applyBorder="1" applyAlignment="1">
      <alignment horizontal="left" vertical="top"/>
    </xf>
    <xf numFmtId="0" fontId="67" fillId="0" borderId="80" xfId="5" applyFont="1" applyBorder="1" applyAlignment="1">
      <alignment horizontal="left" vertical="top"/>
    </xf>
    <xf numFmtId="0" fontId="46" fillId="0" borderId="22" xfId="5" applyFont="1" applyBorder="1" applyAlignment="1">
      <alignment horizontal="center" vertical="center"/>
    </xf>
    <xf numFmtId="0" fontId="65" fillId="0" borderId="22" xfId="5" applyFont="1" applyBorder="1" applyAlignment="1">
      <alignment horizontal="left" vertical="center" wrapText="1"/>
    </xf>
    <xf numFmtId="0" fontId="66" fillId="0" borderId="22" xfId="5" applyFont="1" applyBorder="1" applyAlignment="1">
      <alignment horizontal="left" vertical="center" wrapText="1"/>
    </xf>
    <xf numFmtId="0" fontId="66" fillId="0" borderId="22" xfId="5" applyFont="1" applyBorder="1" applyAlignment="1">
      <alignment horizontal="left" vertical="top" wrapText="1"/>
    </xf>
    <xf numFmtId="0" fontId="55" fillId="0" borderId="78" xfId="5" applyFont="1" applyBorder="1" applyAlignment="1">
      <alignment horizontal="center" vertical="center"/>
    </xf>
    <xf numFmtId="0" fontId="55" fillId="0" borderId="79" xfId="5" applyFont="1" applyBorder="1" applyAlignment="1">
      <alignment horizontal="center" vertical="center"/>
    </xf>
    <xf numFmtId="0" fontId="55" fillId="0" borderId="80" xfId="5" applyFont="1" applyBorder="1" applyAlignment="1">
      <alignment horizontal="center" vertical="center"/>
    </xf>
    <xf numFmtId="0" fontId="44" fillId="0" borderId="81" xfId="5" applyBorder="1" applyAlignment="1">
      <alignment horizontal="center" vertical="center"/>
    </xf>
    <xf numFmtId="0" fontId="44" fillId="0" borderId="82" xfId="5" applyBorder="1" applyAlignment="1">
      <alignment horizontal="center" vertical="center"/>
    </xf>
    <xf numFmtId="0" fontId="44" fillId="0" borderId="23" xfId="5" applyBorder="1" applyAlignment="1">
      <alignment horizontal="center" vertical="center"/>
    </xf>
    <xf numFmtId="0" fontId="55" fillId="0" borderId="22" xfId="5" applyFont="1" applyBorder="1" applyAlignment="1">
      <alignment horizontal="center" vertical="center" wrapText="1"/>
    </xf>
    <xf numFmtId="0" fontId="66" fillId="0" borderId="81" xfId="5" applyFont="1" applyBorder="1" applyAlignment="1">
      <alignment horizontal="center" vertical="top" wrapText="1"/>
    </xf>
    <xf numFmtId="0" fontId="66" fillId="0" borderId="82" xfId="5" applyFont="1" applyBorder="1" applyAlignment="1">
      <alignment horizontal="center" vertical="top" wrapText="1"/>
    </xf>
    <xf numFmtId="0" fontId="66" fillId="0" borderId="23" xfId="5" applyFont="1" applyBorder="1" applyAlignment="1">
      <alignment horizontal="center" vertical="top" wrapText="1"/>
    </xf>
    <xf numFmtId="0" fontId="56" fillId="0" borderId="22" xfId="5" applyFont="1" applyBorder="1" applyAlignment="1">
      <alignment horizontal="center" vertical="center" wrapText="1"/>
    </xf>
    <xf numFmtId="0" fontId="56" fillId="0" borderId="22" xfId="5" applyFont="1" applyBorder="1" applyAlignment="1">
      <alignment horizontal="left" vertical="center" wrapText="1"/>
    </xf>
    <xf numFmtId="0" fontId="56" fillId="0" borderId="22" xfId="5" applyFont="1" applyBorder="1" applyAlignment="1">
      <alignment horizontal="left" vertical="top" wrapText="1"/>
    </xf>
    <xf numFmtId="0" fontId="56" fillId="2" borderId="22" xfId="5" applyFont="1" applyFill="1" applyBorder="1" applyAlignment="1">
      <alignment horizontal="center" vertical="center" wrapText="1"/>
    </xf>
    <xf numFmtId="0" fontId="56" fillId="2" borderId="78" xfId="5" applyFont="1" applyFill="1" applyBorder="1" applyAlignment="1">
      <alignment horizontal="left" vertical="top" wrapText="1"/>
    </xf>
    <xf numFmtId="0" fontId="56" fillId="2" borderId="79" xfId="5" applyFont="1" applyFill="1" applyBorder="1" applyAlignment="1">
      <alignment horizontal="left" vertical="top" wrapText="1"/>
    </xf>
    <xf numFmtId="0" fontId="56" fillId="2" borderId="80" xfId="5" applyFont="1" applyFill="1" applyBorder="1" applyAlignment="1">
      <alignment horizontal="left" vertical="top" wrapText="1"/>
    </xf>
    <xf numFmtId="0" fontId="12" fillId="0" borderId="78" xfId="4" applyFont="1" applyBorder="1" applyAlignment="1">
      <alignment horizontal="center" vertical="center"/>
    </xf>
    <xf numFmtId="0" fontId="12" fillId="0" borderId="79" xfId="4" applyFont="1" applyBorder="1" applyAlignment="1">
      <alignment horizontal="center" vertical="center"/>
    </xf>
    <xf numFmtId="0" fontId="12" fillId="0" borderId="80" xfId="4" applyFont="1" applyBorder="1" applyAlignment="1">
      <alignment horizontal="center" vertical="center"/>
    </xf>
    <xf numFmtId="0" fontId="56" fillId="0" borderId="22" xfId="4" applyFont="1" applyBorder="1" applyAlignment="1">
      <alignment horizontal="center" vertical="center" wrapText="1"/>
    </xf>
    <xf numFmtId="0" fontId="69" fillId="18" borderId="43" xfId="3" applyFont="1" applyFill="1" applyBorder="1" applyAlignment="1">
      <alignment horizontal="center" vertical="center" wrapText="1"/>
    </xf>
    <xf numFmtId="0" fontId="69" fillId="18" borderId="44" xfId="3" applyFont="1" applyFill="1" applyBorder="1" applyAlignment="1">
      <alignment horizontal="center" vertical="center" wrapText="1"/>
    </xf>
    <xf numFmtId="0" fontId="69" fillId="18" borderId="45" xfId="2" applyFont="1" applyFill="1" applyBorder="1" applyAlignment="1">
      <alignment horizontal="center" vertical="center"/>
    </xf>
    <xf numFmtId="0" fontId="69" fillId="18" borderId="46" xfId="2" applyFont="1" applyFill="1" applyBorder="1" applyAlignment="1">
      <alignment horizontal="center" vertical="center"/>
    </xf>
    <xf numFmtId="0" fontId="72" fillId="0" borderId="37" xfId="2" applyFont="1" applyBorder="1" applyAlignment="1">
      <alignment horizontal="center" vertical="center" wrapText="1"/>
    </xf>
    <xf numFmtId="0" fontId="72" fillId="0" borderId="38" xfId="2" applyFont="1" applyBorder="1" applyAlignment="1">
      <alignment horizontal="center" vertical="center" wrapText="1"/>
    </xf>
    <xf numFmtId="0" fontId="72" fillId="0" borderId="39" xfId="2" applyFont="1" applyBorder="1" applyAlignment="1">
      <alignment horizontal="center" vertical="center" wrapText="1"/>
    </xf>
    <xf numFmtId="0" fontId="69" fillId="0" borderId="7" xfId="2" quotePrefix="1" applyFont="1" applyBorder="1" applyAlignment="1">
      <alignment horizontal="left" vertical="center" wrapText="1"/>
    </xf>
    <xf numFmtId="0" fontId="69" fillId="0" borderId="0" xfId="2" quotePrefix="1" applyFont="1" applyAlignment="1">
      <alignment horizontal="left" vertical="center" wrapText="1"/>
    </xf>
    <xf numFmtId="0" fontId="69" fillId="0" borderId="8" xfId="2" quotePrefix="1" applyFont="1" applyBorder="1" applyAlignment="1">
      <alignment horizontal="left" vertical="center" wrapText="1"/>
    </xf>
    <xf numFmtId="0" fontId="69" fillId="0" borderId="57" xfId="2" quotePrefix="1" applyFont="1" applyBorder="1" applyAlignment="1">
      <alignment horizontal="left" vertical="center" wrapText="1"/>
    </xf>
    <xf numFmtId="0" fontId="69" fillId="0" borderId="58" xfId="2" quotePrefix="1" applyFont="1" applyBorder="1" applyAlignment="1">
      <alignment horizontal="left" vertical="center" wrapText="1"/>
    </xf>
    <xf numFmtId="0" fontId="69" fillId="0" borderId="59" xfId="2" quotePrefix="1" applyFont="1" applyBorder="1" applyAlignment="1">
      <alignment horizontal="left" vertical="center" wrapText="1"/>
    </xf>
    <xf numFmtId="0" fontId="71" fillId="2" borderId="40" xfId="2" quotePrefix="1" applyFont="1" applyFill="1" applyBorder="1" applyAlignment="1">
      <alignment horizontal="left" vertical="top" wrapText="1"/>
    </xf>
    <xf numFmtId="0" fontId="69" fillId="2" borderId="41" xfId="2" quotePrefix="1" applyFont="1" applyFill="1" applyBorder="1" applyAlignment="1">
      <alignment horizontal="left" vertical="top" wrapText="1"/>
    </xf>
    <xf numFmtId="0" fontId="69" fillId="2" borderId="42" xfId="2" quotePrefix="1" applyFont="1" applyFill="1" applyBorder="1" applyAlignment="1">
      <alignment horizontal="left" vertical="top" wrapText="1"/>
    </xf>
    <xf numFmtId="0" fontId="69" fillId="2" borderId="57" xfId="2" quotePrefix="1" applyFont="1" applyFill="1" applyBorder="1" applyAlignment="1">
      <alignment horizontal="justify" vertical="center" wrapText="1"/>
    </xf>
    <xf numFmtId="0" fontId="69" fillId="2" borderId="58" xfId="2" quotePrefix="1" applyFont="1" applyFill="1" applyBorder="1" applyAlignment="1">
      <alignment horizontal="justify" vertical="center" wrapText="1"/>
    </xf>
    <xf numFmtId="0" fontId="69" fillId="2" borderId="59" xfId="2" quotePrefix="1" applyFont="1" applyFill="1" applyBorder="1" applyAlignment="1">
      <alignment horizontal="justify" vertical="center" wrapText="1"/>
    </xf>
    <xf numFmtId="0" fontId="69" fillId="0" borderId="7" xfId="2" quotePrefix="1" applyFont="1" applyBorder="1" applyAlignment="1">
      <alignment horizontal="left" vertical="top" wrapText="1"/>
    </xf>
    <xf numFmtId="0" fontId="69" fillId="0" borderId="0" xfId="2" quotePrefix="1" applyFont="1" applyAlignment="1">
      <alignment horizontal="left" vertical="top" wrapText="1"/>
    </xf>
    <xf numFmtId="0" fontId="69" fillId="0" borderId="8" xfId="2" quotePrefix="1" applyFont="1" applyBorder="1" applyAlignment="1">
      <alignment horizontal="left" vertical="top" wrapText="1"/>
    </xf>
    <xf numFmtId="0" fontId="69" fillId="2" borderId="47" xfId="3" applyFont="1" applyFill="1" applyBorder="1" applyAlignment="1">
      <alignment horizontal="left" vertical="top" wrapText="1" readingOrder="1"/>
    </xf>
    <xf numFmtId="0" fontId="69" fillId="2" borderId="48" xfId="3" applyFont="1" applyFill="1" applyBorder="1" applyAlignment="1">
      <alignment horizontal="left" vertical="top" wrapText="1" readingOrder="1"/>
    </xf>
    <xf numFmtId="0" fontId="69" fillId="2" borderId="49" xfId="2" applyFont="1" applyFill="1" applyBorder="1" applyAlignment="1">
      <alignment horizontal="justify" vertical="center" wrapText="1"/>
    </xf>
    <xf numFmtId="0" fontId="69" fillId="2" borderId="50" xfId="2" applyFont="1" applyFill="1" applyBorder="1" applyAlignment="1">
      <alignment horizontal="justify" vertical="center" wrapText="1"/>
    </xf>
    <xf numFmtId="0" fontId="69" fillId="2" borderId="83" xfId="2" applyFont="1" applyFill="1" applyBorder="1" applyAlignment="1">
      <alignment horizontal="left" vertical="center" wrapText="1"/>
    </xf>
    <xf numFmtId="0" fontId="69" fillId="2" borderId="84" xfId="2" applyFont="1" applyFill="1" applyBorder="1" applyAlignment="1">
      <alignment horizontal="left" vertical="center" wrapText="1"/>
    </xf>
    <xf numFmtId="0" fontId="69" fillId="2" borderId="47" xfId="3" applyFont="1" applyFill="1" applyBorder="1" applyAlignment="1">
      <alignment vertical="center" wrapText="1" readingOrder="1"/>
    </xf>
    <xf numFmtId="0" fontId="69" fillId="2" borderId="48" xfId="3" applyFont="1" applyFill="1" applyBorder="1" applyAlignment="1">
      <alignment vertical="center" wrapText="1" readingOrder="1"/>
    </xf>
    <xf numFmtId="0" fontId="69" fillId="2" borderId="47" xfId="3" applyFont="1" applyFill="1" applyBorder="1" applyAlignment="1">
      <alignment horizontal="left" vertical="center" wrapText="1" readingOrder="1"/>
    </xf>
    <xf numFmtId="0" fontId="69" fillId="2" borderId="48" xfId="3" applyFont="1" applyFill="1" applyBorder="1" applyAlignment="1">
      <alignment horizontal="left" vertical="center" wrapText="1" readingOrder="1"/>
    </xf>
    <xf numFmtId="0" fontId="69" fillId="2" borderId="51" xfId="0" applyFont="1" applyFill="1" applyBorder="1" applyAlignment="1">
      <alignment horizontal="left" vertical="center" wrapText="1"/>
    </xf>
    <xf numFmtId="0" fontId="69" fillId="2" borderId="52" xfId="0" applyFont="1" applyFill="1" applyBorder="1" applyAlignment="1">
      <alignment horizontal="left" vertical="center" wrapText="1"/>
    </xf>
    <xf numFmtId="0" fontId="69" fillId="2" borderId="53" xfId="2" applyFont="1" applyFill="1" applyBorder="1" applyAlignment="1">
      <alignment horizontal="justify" vertical="center" wrapText="1"/>
    </xf>
    <xf numFmtId="0" fontId="69" fillId="2" borderId="54" xfId="2" applyFont="1" applyFill="1" applyBorder="1" applyAlignment="1">
      <alignment horizontal="justify" vertical="center" wrapText="1"/>
    </xf>
    <xf numFmtId="0" fontId="69" fillId="2" borderId="60" xfId="0" applyFont="1" applyFill="1" applyBorder="1" applyAlignment="1">
      <alignment horizontal="left" vertical="center" wrapText="1"/>
    </xf>
    <xf numFmtId="0" fontId="69" fillId="2" borderId="61" xfId="0" applyFont="1" applyFill="1" applyBorder="1" applyAlignment="1">
      <alignment horizontal="left" vertical="center" wrapText="1"/>
    </xf>
    <xf numFmtId="0" fontId="69" fillId="2" borderId="62" xfId="0" applyFont="1" applyFill="1" applyBorder="1" applyAlignment="1">
      <alignment horizontal="left" vertical="center" wrapText="1"/>
    </xf>
    <xf numFmtId="0" fontId="69" fillId="2" borderId="63" xfId="0" applyFont="1" applyFill="1" applyBorder="1" applyAlignment="1">
      <alignment horizontal="left" vertical="center" wrapText="1"/>
    </xf>
    <xf numFmtId="0" fontId="69" fillId="2" borderId="55" xfId="0" applyFont="1" applyFill="1" applyBorder="1" applyAlignment="1">
      <alignment horizontal="justify" vertical="center" wrapText="1"/>
    </xf>
    <xf numFmtId="0" fontId="69" fillId="2" borderId="56" xfId="0" applyFont="1" applyFill="1" applyBorder="1" applyAlignment="1">
      <alignment horizontal="justify" vertical="center" wrapText="1"/>
    </xf>
    <xf numFmtId="0" fontId="68" fillId="18" borderId="0" xfId="0" applyFont="1" applyFill="1" applyAlignment="1">
      <alignment horizontal="left" vertical="top" wrapText="1"/>
    </xf>
    <xf numFmtId="0" fontId="69" fillId="2" borderId="7" xfId="2" applyFont="1" applyFill="1" applyBorder="1" applyAlignment="1">
      <alignment horizontal="left" vertical="top" wrapText="1"/>
    </xf>
    <xf numFmtId="0" fontId="69" fillId="2" borderId="0" xfId="2" applyFont="1" applyFill="1" applyAlignment="1">
      <alignment horizontal="left" vertical="top" wrapText="1"/>
    </xf>
    <xf numFmtId="0" fontId="69" fillId="2" borderId="8" xfId="2" applyFont="1" applyFill="1" applyBorder="1" applyAlignment="1">
      <alignment horizontal="left" vertical="top" wrapText="1"/>
    </xf>
    <xf numFmtId="0" fontId="52" fillId="2" borderId="53" xfId="2" applyFont="1" applyFill="1" applyBorder="1" applyAlignment="1">
      <alignment horizontal="justify" vertical="center" wrapText="1"/>
    </xf>
    <xf numFmtId="0" fontId="52" fillId="2" borderId="54" xfId="2" applyFont="1" applyFill="1" applyBorder="1" applyAlignment="1">
      <alignment horizontal="justify" vertical="center" wrapText="1"/>
    </xf>
    <xf numFmtId="0" fontId="51" fillId="2" borderId="60" xfId="0" applyFont="1" applyFill="1" applyBorder="1" applyAlignment="1">
      <alignment horizontal="left" vertical="center" wrapText="1"/>
    </xf>
    <xf numFmtId="0" fontId="51" fillId="2" borderId="61" xfId="0" applyFont="1" applyFill="1" applyBorder="1" applyAlignment="1">
      <alignment horizontal="left" vertical="center" wrapText="1"/>
    </xf>
    <xf numFmtId="0" fontId="51" fillId="2" borderId="47" xfId="3" applyFont="1" applyFill="1" applyBorder="1" applyAlignment="1">
      <alignment horizontal="left" vertical="top" wrapText="1" readingOrder="1"/>
    </xf>
    <xf numFmtId="0" fontId="51" fillId="2" borderId="48" xfId="3" applyFont="1" applyFill="1" applyBorder="1" applyAlignment="1">
      <alignment horizontal="left" vertical="top" wrapText="1" readingOrder="1"/>
    </xf>
    <xf numFmtId="0" fontId="52" fillId="2" borderId="49" xfId="2" applyFont="1" applyFill="1" applyBorder="1" applyAlignment="1">
      <alignment horizontal="justify" vertical="center" wrapText="1"/>
    </xf>
    <xf numFmtId="0" fontId="52" fillId="2" borderId="50" xfId="2" applyFont="1" applyFill="1" applyBorder="1" applyAlignment="1">
      <alignment horizontal="justify" vertical="center" wrapText="1"/>
    </xf>
    <xf numFmtId="0" fontId="51" fillId="2" borderId="51" xfId="0" applyFont="1" applyFill="1" applyBorder="1" applyAlignment="1">
      <alignment horizontal="left" vertical="center" wrapText="1"/>
    </xf>
    <xf numFmtId="0" fontId="51" fillId="2" borderId="52" xfId="0" applyFont="1" applyFill="1" applyBorder="1" applyAlignment="1">
      <alignment horizontal="left" vertical="center" wrapText="1"/>
    </xf>
    <xf numFmtId="0" fontId="46" fillId="2" borderId="7" xfId="2" applyFont="1" applyFill="1" applyBorder="1" applyAlignment="1">
      <alignment horizontal="left" vertical="top" wrapText="1"/>
    </xf>
    <xf numFmtId="0" fontId="46" fillId="2" borderId="0" xfId="2" applyFont="1" applyFill="1" applyAlignment="1">
      <alignment horizontal="left" vertical="top" wrapText="1"/>
    </xf>
    <xf numFmtId="0" fontId="46" fillId="2" borderId="8" xfId="2" applyFont="1" applyFill="1" applyBorder="1" applyAlignment="1">
      <alignment horizontal="left" vertical="top" wrapText="1"/>
    </xf>
    <xf numFmtId="0" fontId="51" fillId="2" borderId="62" xfId="0" applyFont="1" applyFill="1" applyBorder="1" applyAlignment="1">
      <alignment horizontal="left" vertical="center" wrapText="1"/>
    </xf>
    <xf numFmtId="0" fontId="51" fillId="2" borderId="63" xfId="0" applyFont="1" applyFill="1" applyBorder="1" applyAlignment="1">
      <alignment horizontal="left" vertical="center" wrapText="1"/>
    </xf>
    <xf numFmtId="0" fontId="52" fillId="2" borderId="55" xfId="0" applyFont="1" applyFill="1" applyBorder="1" applyAlignment="1">
      <alignment horizontal="justify" vertical="center" wrapText="1"/>
    </xf>
    <xf numFmtId="0" fontId="52" fillId="2" borderId="56" xfId="0" applyFont="1" applyFill="1" applyBorder="1" applyAlignment="1">
      <alignment horizontal="justify" vertical="center" wrapText="1"/>
    </xf>
    <xf numFmtId="0" fontId="47" fillId="13" borderId="37" xfId="2" applyFont="1" applyFill="1" applyBorder="1" applyAlignment="1">
      <alignment horizontal="center" vertical="center" wrapText="1"/>
    </xf>
    <xf numFmtId="0" fontId="47" fillId="13" borderId="38" xfId="2" applyFont="1" applyFill="1" applyBorder="1" applyAlignment="1">
      <alignment horizontal="center" vertical="center" wrapText="1"/>
    </xf>
    <xf numFmtId="0" fontId="47" fillId="13" borderId="39" xfId="2" applyFont="1" applyFill="1" applyBorder="1" applyAlignment="1">
      <alignment horizontal="center" vertical="center" wrapText="1"/>
    </xf>
    <xf numFmtId="0" fontId="46" fillId="0" borderId="7" xfId="2" quotePrefix="1" applyFont="1" applyBorder="1" applyAlignment="1">
      <alignment horizontal="left" vertical="center" wrapText="1"/>
    </xf>
    <xf numFmtId="0" fontId="46" fillId="0" borderId="0" xfId="2" quotePrefix="1" applyFont="1" applyAlignment="1">
      <alignment horizontal="left" vertical="center" wrapText="1"/>
    </xf>
    <xf numFmtId="0" fontId="46" fillId="0" borderId="8" xfId="2" quotePrefix="1" applyFont="1" applyBorder="1" applyAlignment="1">
      <alignment horizontal="left" vertical="center" wrapText="1"/>
    </xf>
    <xf numFmtId="0" fontId="46" fillId="0" borderId="57" xfId="2" quotePrefix="1" applyFont="1" applyBorder="1" applyAlignment="1">
      <alignment horizontal="left" vertical="center" wrapText="1"/>
    </xf>
    <xf numFmtId="0" fontId="46" fillId="0" borderId="58" xfId="2" quotePrefix="1" applyFont="1" applyBorder="1" applyAlignment="1">
      <alignment horizontal="left" vertical="center" wrapText="1"/>
    </xf>
    <xf numFmtId="0" fontId="46" fillId="0" borderId="59" xfId="2" quotePrefix="1" applyFont="1" applyBorder="1" applyAlignment="1">
      <alignment horizontal="left" vertical="center" wrapText="1"/>
    </xf>
    <xf numFmtId="0" fontId="48" fillId="2" borderId="40" xfId="2" quotePrefix="1" applyFont="1" applyFill="1" applyBorder="1" applyAlignment="1">
      <alignment horizontal="left" vertical="top" wrapText="1"/>
    </xf>
    <xf numFmtId="0" fontId="49" fillId="2" borderId="41" xfId="2" quotePrefix="1" applyFont="1" applyFill="1" applyBorder="1" applyAlignment="1">
      <alignment horizontal="left" vertical="top" wrapText="1"/>
    </xf>
    <xf numFmtId="0" fontId="49" fillId="2" borderId="42" xfId="2" quotePrefix="1" applyFont="1" applyFill="1" applyBorder="1" applyAlignment="1">
      <alignment horizontal="left" vertical="top" wrapText="1"/>
    </xf>
    <xf numFmtId="0" fontId="46" fillId="0" borderId="7" xfId="2" quotePrefix="1" applyFont="1" applyBorder="1" applyAlignment="1">
      <alignment horizontal="left" vertical="top" wrapText="1"/>
    </xf>
    <xf numFmtId="0" fontId="46" fillId="0" borderId="0" xfId="2" quotePrefix="1" applyFont="1" applyAlignment="1">
      <alignment horizontal="left" vertical="top" wrapText="1"/>
    </xf>
    <xf numFmtId="0" fontId="46" fillId="0" borderId="8" xfId="2" quotePrefix="1" applyFont="1" applyBorder="1" applyAlignment="1">
      <alignment horizontal="left" vertical="top" wrapText="1"/>
    </xf>
    <xf numFmtId="0" fontId="51" fillId="13" borderId="43" xfId="3" applyFont="1" applyFill="1" applyBorder="1" applyAlignment="1">
      <alignment horizontal="center" vertical="center" wrapText="1"/>
    </xf>
    <xf numFmtId="0" fontId="51" fillId="13" borderId="44" xfId="3" applyFont="1" applyFill="1" applyBorder="1" applyAlignment="1">
      <alignment horizontal="center" vertical="center" wrapText="1"/>
    </xf>
    <xf numFmtId="0" fontId="51" fillId="13" borderId="45" xfId="2" applyFont="1" applyFill="1" applyBorder="1" applyAlignment="1">
      <alignment horizontal="center" vertical="center"/>
    </xf>
    <xf numFmtId="0" fontId="51" fillId="13" borderId="46" xfId="2" applyFont="1" applyFill="1" applyBorder="1" applyAlignment="1">
      <alignment horizontal="center" vertical="center"/>
    </xf>
    <xf numFmtId="0" fontId="1" fillId="2" borderId="57" xfId="2" quotePrefix="1" applyFont="1" applyFill="1" applyBorder="1" applyAlignment="1">
      <alignment horizontal="justify" vertical="center" wrapText="1"/>
    </xf>
    <xf numFmtId="0" fontId="1" fillId="2" borderId="58" xfId="2" quotePrefix="1" applyFont="1" applyFill="1" applyBorder="1" applyAlignment="1">
      <alignment horizontal="justify" vertical="center" wrapText="1"/>
    </xf>
    <xf numFmtId="0" fontId="1" fillId="2" borderId="59" xfId="2" quotePrefix="1" applyFont="1" applyFill="1" applyBorder="1" applyAlignment="1">
      <alignment horizontal="justify" vertical="center" wrapText="1"/>
    </xf>
    <xf numFmtId="0" fontId="69" fillId="0" borderId="67" xfId="0" applyFont="1" applyBorder="1" applyAlignment="1" applyProtection="1">
      <alignment horizontal="justify" vertical="center" wrapText="1"/>
      <protection locked="0"/>
    </xf>
    <xf numFmtId="0" fontId="69" fillId="0" borderId="69" xfId="0" applyFont="1" applyBorder="1" applyAlignment="1" applyProtection="1">
      <alignment horizontal="justify" vertical="center" wrapText="1"/>
      <protection locked="0"/>
    </xf>
    <xf numFmtId="0" fontId="69" fillId="0" borderId="68" xfId="0" applyFont="1" applyBorder="1" applyAlignment="1" applyProtection="1">
      <alignment horizontal="justify" vertical="center" wrapText="1"/>
      <protection locked="0"/>
    </xf>
    <xf numFmtId="0" fontId="68" fillId="0" borderId="104" xfId="0" applyFont="1" applyBorder="1" applyAlignment="1" applyProtection="1">
      <alignment horizontal="center" vertical="center"/>
      <protection locked="0"/>
    </xf>
    <xf numFmtId="0" fontId="69" fillId="0" borderId="67" xfId="0" applyFont="1" applyBorder="1" applyAlignment="1" applyProtection="1">
      <alignment horizontal="center" vertical="center" wrapText="1"/>
      <protection locked="0"/>
    </xf>
    <xf numFmtId="0" fontId="69" fillId="0" borderId="69" xfId="0" applyFont="1" applyBorder="1" applyAlignment="1" applyProtection="1">
      <alignment horizontal="center" vertical="center" wrapText="1"/>
      <protection locked="0"/>
    </xf>
    <xf numFmtId="0" fontId="69" fillId="0" borderId="68" xfId="0" applyFont="1" applyBorder="1" applyAlignment="1" applyProtection="1">
      <alignment horizontal="center" vertical="center" wrapText="1"/>
      <protection locked="0"/>
    </xf>
    <xf numFmtId="49" fontId="69" fillId="0" borderId="67" xfId="0" applyNumberFormat="1" applyFont="1" applyBorder="1" applyAlignment="1" applyProtection="1">
      <alignment horizontal="justify" vertical="center" wrapText="1"/>
      <protection locked="0"/>
    </xf>
    <xf numFmtId="49" fontId="69" fillId="0" borderId="69" xfId="0" applyNumberFormat="1" applyFont="1" applyBorder="1" applyAlignment="1" applyProtection="1">
      <alignment horizontal="justify" vertical="center" wrapText="1"/>
      <protection locked="0"/>
    </xf>
    <xf numFmtId="49" fontId="69" fillId="0" borderId="68" xfId="0" applyNumberFormat="1" applyFont="1" applyBorder="1" applyAlignment="1" applyProtection="1">
      <alignment horizontal="justify" vertical="center" wrapText="1"/>
      <protection locked="0"/>
    </xf>
    <xf numFmtId="9" fontId="68" fillId="0" borderId="66" xfId="0" applyNumberFormat="1" applyFont="1" applyBorder="1" applyAlignment="1" applyProtection="1">
      <alignment horizontal="center" vertical="center" wrapText="1"/>
      <protection hidden="1"/>
    </xf>
    <xf numFmtId="0" fontId="64" fillId="0" borderId="66" xfId="0" applyFont="1" applyBorder="1" applyAlignment="1" applyProtection="1">
      <alignment horizontal="center" vertical="center" wrapText="1"/>
      <protection hidden="1"/>
    </xf>
    <xf numFmtId="0" fontId="68" fillId="0" borderId="86" xfId="0" applyFont="1" applyBorder="1" applyAlignment="1" applyProtection="1">
      <alignment horizontal="center" vertical="center"/>
      <protection locked="0"/>
    </xf>
    <xf numFmtId="0" fontId="68" fillId="0" borderId="87" xfId="0" applyFont="1" applyBorder="1" applyAlignment="1" applyProtection="1">
      <alignment horizontal="center" vertical="center"/>
      <protection locked="0"/>
    </xf>
    <xf numFmtId="0" fontId="68" fillId="0" borderId="85" xfId="0" applyFont="1" applyBorder="1" applyAlignment="1" applyProtection="1">
      <alignment horizontal="center" vertical="center"/>
      <protection locked="0"/>
    </xf>
    <xf numFmtId="0" fontId="68" fillId="0" borderId="66" xfId="0" applyFont="1" applyBorder="1" applyAlignment="1" applyProtection="1">
      <alignment horizontal="center" vertical="center" wrapText="1"/>
      <protection locked="0"/>
    </xf>
    <xf numFmtId="0" fontId="68" fillId="0" borderId="66" xfId="0" applyFont="1" applyBorder="1" applyAlignment="1" applyProtection="1">
      <alignment horizontal="center" vertical="center"/>
      <protection locked="0"/>
    </xf>
    <xf numFmtId="9" fontId="68" fillId="0" borderId="66" xfId="0" applyNumberFormat="1" applyFont="1" applyBorder="1" applyAlignment="1" applyProtection="1">
      <alignment horizontal="center" vertical="center" wrapText="1"/>
      <protection locked="0"/>
    </xf>
    <xf numFmtId="0" fontId="68" fillId="0" borderId="64" xfId="0" applyFont="1" applyBorder="1" applyAlignment="1" applyProtection="1">
      <alignment horizontal="center" vertical="center" textRotation="90" wrapText="1"/>
      <protection locked="0"/>
    </xf>
    <xf numFmtId="0" fontId="68" fillId="0" borderId="90" xfId="0" applyFont="1" applyBorder="1" applyAlignment="1" applyProtection="1">
      <alignment horizontal="center" vertical="center" textRotation="90" wrapText="1"/>
      <protection locked="0"/>
    </xf>
    <xf numFmtId="0" fontId="68" fillId="0" borderId="91" xfId="0" applyFont="1" applyBorder="1" applyAlignment="1" applyProtection="1">
      <alignment horizontal="center" vertical="center" textRotation="90" wrapText="1"/>
      <protection locked="0"/>
    </xf>
    <xf numFmtId="0" fontId="68" fillId="0" borderId="92" xfId="0" applyFont="1" applyBorder="1" applyAlignment="1" applyProtection="1">
      <alignment horizontal="center" vertical="center" textRotation="90" wrapText="1"/>
      <protection locked="0"/>
    </xf>
    <xf numFmtId="0" fontId="69" fillId="0" borderId="66" xfId="0" applyFont="1" applyBorder="1" applyAlignment="1" applyProtection="1">
      <alignment horizontal="justify" vertical="center" wrapText="1"/>
      <protection locked="0"/>
    </xf>
    <xf numFmtId="0" fontId="64" fillId="0" borderId="66" xfId="0" applyFont="1" applyBorder="1" applyAlignment="1" applyProtection="1">
      <alignment horizontal="center" vertical="center"/>
      <protection hidden="1"/>
    </xf>
    <xf numFmtId="49" fontId="68" fillId="0" borderId="66" xfId="0" applyNumberFormat="1" applyFont="1" applyBorder="1" applyAlignment="1" applyProtection="1">
      <alignment horizontal="justify" vertical="center" wrapText="1"/>
      <protection locked="0"/>
    </xf>
    <xf numFmtId="0" fontId="68" fillId="0" borderId="67" xfId="0" applyFont="1" applyBorder="1" applyAlignment="1" applyProtection="1">
      <alignment horizontal="justify" vertical="center" wrapText="1"/>
      <protection locked="0"/>
    </xf>
    <xf numFmtId="0" fontId="68" fillId="0" borderId="69" xfId="0" applyFont="1" applyBorder="1" applyAlignment="1" applyProtection="1">
      <alignment horizontal="justify" vertical="center" wrapText="1"/>
      <protection locked="0"/>
    </xf>
    <xf numFmtId="0" fontId="68" fillId="0" borderId="68" xfId="0" applyFont="1" applyBorder="1" applyAlignment="1" applyProtection="1">
      <alignment horizontal="justify" vertical="center" wrapText="1"/>
      <protection locked="0"/>
    </xf>
    <xf numFmtId="49" fontId="68" fillId="0" borderId="67" xfId="0" applyNumberFormat="1" applyFont="1" applyBorder="1" applyAlignment="1" applyProtection="1">
      <alignment horizontal="justify" vertical="center" wrapText="1"/>
      <protection locked="0"/>
    </xf>
    <xf numFmtId="49" fontId="68" fillId="0" borderId="69" xfId="0" applyNumberFormat="1" applyFont="1" applyBorder="1" applyAlignment="1" applyProtection="1">
      <alignment horizontal="justify" vertical="center" wrapText="1"/>
      <protection locked="0"/>
    </xf>
    <xf numFmtId="49" fontId="68" fillId="0" borderId="68" xfId="0" applyNumberFormat="1" applyFont="1" applyBorder="1" applyAlignment="1" applyProtection="1">
      <alignment horizontal="justify" vertical="center" wrapText="1"/>
      <protection locked="0"/>
    </xf>
    <xf numFmtId="0" fontId="68" fillId="0" borderId="103" xfId="0" applyFont="1" applyBorder="1" applyAlignment="1" applyProtection="1">
      <alignment horizontal="center" vertical="center"/>
      <protection locked="0"/>
    </xf>
    <xf numFmtId="14" fontId="68" fillId="0" borderId="103" xfId="0" applyNumberFormat="1" applyFont="1" applyBorder="1" applyAlignment="1" applyProtection="1">
      <alignment horizontal="center" vertical="center"/>
      <protection locked="0"/>
    </xf>
    <xf numFmtId="14" fontId="68" fillId="0" borderId="104" xfId="0" applyNumberFormat="1" applyFont="1" applyBorder="1" applyAlignment="1" applyProtection="1">
      <alignment horizontal="center" vertical="center"/>
      <protection locked="0"/>
    </xf>
    <xf numFmtId="14" fontId="68" fillId="0" borderId="103" xfId="0" applyNumberFormat="1" applyFont="1" applyBorder="1" applyAlignment="1" applyProtection="1">
      <alignment horizontal="center" vertical="center" wrapText="1"/>
      <protection locked="0"/>
    </xf>
    <xf numFmtId="0" fontId="68" fillId="0" borderId="98" xfId="0" applyFont="1" applyBorder="1" applyAlignment="1" applyProtection="1">
      <alignment horizontal="justify" vertical="center" wrapText="1"/>
      <protection locked="0"/>
    </xf>
    <xf numFmtId="0" fontId="68" fillId="0" borderId="99" xfId="0" applyFont="1" applyBorder="1" applyAlignment="1" applyProtection="1">
      <alignment horizontal="justify" vertical="center" wrapText="1"/>
      <protection locked="0"/>
    </xf>
    <xf numFmtId="0" fontId="68" fillId="0" borderId="100" xfId="0" applyFont="1" applyBorder="1" applyAlignment="1" applyProtection="1">
      <alignment horizontal="justify" vertical="center" wrapText="1"/>
      <protection locked="0"/>
    </xf>
    <xf numFmtId="0" fontId="68" fillId="0" borderId="98" xfId="0" applyFont="1" applyBorder="1" applyAlignment="1" applyProtection="1">
      <alignment horizontal="center" vertical="center" wrapText="1"/>
      <protection locked="0"/>
    </xf>
    <xf numFmtId="0" fontId="68" fillId="0" borderId="99" xfId="0" applyFont="1" applyBorder="1" applyAlignment="1" applyProtection="1">
      <alignment horizontal="center" vertical="center" wrapText="1"/>
      <protection locked="0"/>
    </xf>
    <xf numFmtId="0" fontId="68" fillId="0" borderId="100" xfId="0" applyFont="1" applyBorder="1" applyAlignment="1" applyProtection="1">
      <alignment horizontal="center" vertical="center" wrapText="1"/>
      <protection locked="0"/>
    </xf>
    <xf numFmtId="0" fontId="68" fillId="0" borderId="67" xfId="0" applyFont="1" applyBorder="1" applyAlignment="1" applyProtection="1">
      <alignment horizontal="center" vertical="center" wrapText="1"/>
      <protection locked="0"/>
    </xf>
    <xf numFmtId="0" fontId="68" fillId="0" borderId="69" xfId="0" applyFont="1" applyBorder="1" applyAlignment="1" applyProtection="1">
      <alignment horizontal="center" vertical="center" wrapText="1"/>
      <protection locked="0"/>
    </xf>
    <xf numFmtId="0" fontId="68" fillId="0" borderId="68" xfId="0" applyFont="1" applyBorder="1" applyAlignment="1" applyProtection="1">
      <alignment horizontal="center" vertical="center" wrapText="1"/>
      <protection locked="0"/>
    </xf>
    <xf numFmtId="0" fontId="68" fillId="0" borderId="96" xfId="0" applyFont="1" applyBorder="1" applyAlignment="1" applyProtection="1">
      <alignment horizontal="center" vertical="center"/>
      <protection locked="0"/>
    </xf>
    <xf numFmtId="0" fontId="68" fillId="0" borderId="98" xfId="0" applyFont="1" applyBorder="1" applyAlignment="1" applyProtection="1">
      <alignment horizontal="center" vertical="center"/>
      <protection locked="0"/>
    </xf>
    <xf numFmtId="0" fontId="68" fillId="0" borderId="99" xfId="0" applyFont="1" applyBorder="1" applyAlignment="1" applyProtection="1">
      <alignment horizontal="center" vertical="center"/>
      <protection locked="0"/>
    </xf>
    <xf numFmtId="0" fontId="68" fillId="0" borderId="100" xfId="0" applyFont="1" applyBorder="1" applyAlignment="1" applyProtection="1">
      <alignment horizontal="center" vertical="center"/>
      <protection locked="0"/>
    </xf>
    <xf numFmtId="14" fontId="68" fillId="0" borderId="96" xfId="0" applyNumberFormat="1" applyFont="1" applyBorder="1" applyAlignment="1" applyProtection="1">
      <alignment horizontal="center" vertical="center"/>
      <protection locked="0"/>
    </xf>
    <xf numFmtId="14" fontId="68" fillId="0" borderId="96" xfId="0" applyNumberFormat="1" applyFont="1" applyBorder="1" applyAlignment="1" applyProtection="1">
      <alignment horizontal="center" vertical="center" wrapText="1"/>
      <protection locked="0"/>
    </xf>
    <xf numFmtId="14" fontId="68" fillId="0" borderId="98" xfId="0" applyNumberFormat="1" applyFont="1" applyBorder="1" applyAlignment="1" applyProtection="1">
      <alignment horizontal="center" vertical="center"/>
      <protection locked="0"/>
    </xf>
    <xf numFmtId="14" fontId="68" fillId="0" borderId="99" xfId="0" applyNumberFormat="1" applyFont="1" applyBorder="1" applyAlignment="1" applyProtection="1">
      <alignment horizontal="center" vertical="center"/>
      <protection locked="0"/>
    </xf>
    <xf numFmtId="14" fontId="68" fillId="0" borderId="100" xfId="0" applyNumberFormat="1" applyFont="1" applyBorder="1" applyAlignment="1" applyProtection="1">
      <alignment horizontal="center" vertical="center"/>
      <protection locked="0"/>
    </xf>
    <xf numFmtId="14" fontId="68" fillId="0" borderId="98" xfId="0" applyNumberFormat="1" applyFont="1" applyBorder="1" applyAlignment="1" applyProtection="1">
      <alignment horizontal="center" vertical="center" wrapText="1"/>
      <protection locked="0"/>
    </xf>
    <xf numFmtId="0" fontId="55" fillId="0" borderId="22" xfId="5" applyFont="1" applyBorder="1" applyAlignment="1">
      <alignment horizontal="center" vertical="center"/>
    </xf>
    <xf numFmtId="0" fontId="55" fillId="0" borderId="22" xfId="5" applyFont="1" applyBorder="1" applyAlignment="1">
      <alignment horizontal="left" vertical="center" wrapText="1"/>
    </xf>
    <xf numFmtId="0" fontId="64" fillId="0" borderId="67" xfId="0" applyFont="1" applyBorder="1" applyAlignment="1">
      <alignment horizontal="center" vertical="center" wrapText="1"/>
    </xf>
    <xf numFmtId="0" fontId="64" fillId="0" borderId="68" xfId="0" applyFont="1" applyBorder="1" applyAlignment="1">
      <alignment horizontal="center" vertical="center" wrapText="1"/>
    </xf>
    <xf numFmtId="0" fontId="64" fillId="0" borderId="66" xfId="0" applyFont="1" applyBorder="1" applyAlignment="1">
      <alignment horizontal="center" vertical="center"/>
    </xf>
    <xf numFmtId="0" fontId="68" fillId="2" borderId="66" xfId="0" applyFont="1" applyFill="1" applyBorder="1" applyAlignment="1" applyProtection="1">
      <alignment horizontal="left" vertical="center"/>
      <protection locked="0"/>
    </xf>
    <xf numFmtId="0" fontId="68" fillId="2" borderId="0" xfId="0" applyFont="1" applyFill="1" applyAlignment="1">
      <alignment horizontal="left" vertical="center"/>
    </xf>
    <xf numFmtId="0" fontId="57" fillId="0" borderId="0" xfId="0" applyFont="1" applyAlignment="1">
      <alignment horizontal="center" vertical="center"/>
    </xf>
    <xf numFmtId="0" fontId="64" fillId="0" borderId="97" xfId="0" applyFont="1" applyBorder="1" applyAlignment="1">
      <alignment horizontal="center" vertical="center"/>
    </xf>
    <xf numFmtId="0" fontId="68" fillId="0" borderId="66" xfId="0" applyFont="1" applyBorder="1" applyAlignment="1">
      <alignment horizontal="left" vertical="center"/>
    </xf>
    <xf numFmtId="0" fontId="68" fillId="0" borderId="67" xfId="0" applyFont="1" applyBorder="1" applyAlignment="1">
      <alignment horizontal="left" vertical="center"/>
    </xf>
    <xf numFmtId="0" fontId="68" fillId="2" borderId="67" xfId="0" applyFont="1" applyFill="1" applyBorder="1" applyAlignment="1" applyProtection="1">
      <alignment horizontal="left" vertical="center" wrapText="1"/>
      <protection locked="0"/>
    </xf>
    <xf numFmtId="0" fontId="64" fillId="0" borderId="66" xfId="0" applyFont="1" applyBorder="1" applyAlignment="1">
      <alignment horizontal="center" vertical="center" textRotation="90" wrapText="1"/>
    </xf>
    <xf numFmtId="0" fontId="64" fillId="0" borderId="97" xfId="0" applyFont="1" applyBorder="1" applyAlignment="1">
      <alignment horizontal="center" vertical="center" wrapText="1"/>
    </xf>
    <xf numFmtId="0" fontId="64" fillId="0" borderId="85" xfId="0" applyFont="1" applyBorder="1" applyAlignment="1">
      <alignment horizontal="center" vertical="center" wrapText="1"/>
    </xf>
    <xf numFmtId="0" fontId="64" fillId="0" borderId="66" xfId="0" applyFont="1" applyBorder="1" applyAlignment="1">
      <alignment horizontal="center" vertical="center" wrapText="1"/>
    </xf>
    <xf numFmtId="0" fontId="64" fillId="0" borderId="66" xfId="0" applyFont="1" applyBorder="1" applyAlignment="1">
      <alignment horizontal="center" vertical="center" textRotation="90"/>
    </xf>
    <xf numFmtId="0" fontId="56" fillId="0" borderId="2" xfId="0" applyFont="1" applyBorder="1" applyAlignment="1">
      <alignment horizontal="left" vertical="center" wrapText="1"/>
    </xf>
    <xf numFmtId="0" fontId="56" fillId="0" borderId="21" xfId="0" applyFont="1" applyBorder="1" applyAlignment="1">
      <alignment horizontal="left" vertical="center" wrapText="1"/>
    </xf>
    <xf numFmtId="0" fontId="68" fillId="0" borderId="66" xfId="0" applyFont="1" applyBorder="1" applyAlignment="1">
      <alignment horizontal="center" vertical="center"/>
    </xf>
    <xf numFmtId="0" fontId="68" fillId="0" borderId="66" xfId="0" applyFont="1" applyBorder="1" applyAlignment="1" applyProtection="1">
      <alignment horizontal="justify" vertical="center" wrapText="1"/>
      <protection locked="0"/>
    </xf>
    <xf numFmtId="0" fontId="68" fillId="0" borderId="93" xfId="0" applyFont="1" applyBorder="1" applyAlignment="1" applyProtection="1">
      <alignment horizontal="center" vertical="center" textRotation="90" wrapText="1"/>
      <protection locked="0"/>
    </xf>
    <xf numFmtId="0" fontId="68" fillId="0" borderId="94" xfId="0" applyFont="1" applyBorder="1" applyAlignment="1" applyProtection="1">
      <alignment horizontal="center" vertical="center" textRotation="90" wrapText="1"/>
      <protection locked="0"/>
    </xf>
    <xf numFmtId="0" fontId="68" fillId="0" borderId="95" xfId="0" applyFont="1" applyBorder="1" applyAlignment="1" applyProtection="1">
      <alignment horizontal="center" vertical="center" textRotation="90" wrapText="1"/>
      <protection locked="0"/>
    </xf>
    <xf numFmtId="49" fontId="69" fillId="0" borderId="66" xfId="0" applyNumberFormat="1" applyFont="1" applyBorder="1" applyAlignment="1" applyProtection="1">
      <alignment horizontal="justify" vertical="center" wrapText="1"/>
      <protection locked="0"/>
    </xf>
    <xf numFmtId="49" fontId="73" fillId="0" borderId="66" xfId="0" applyNumberFormat="1" applyFont="1" applyBorder="1" applyAlignment="1" applyProtection="1">
      <alignment horizontal="justify" vertical="center" wrapText="1"/>
      <protection locked="0"/>
    </xf>
    <xf numFmtId="0" fontId="55" fillId="0" borderId="22" xfId="5" applyFont="1" applyBorder="1" applyAlignment="1">
      <alignment horizontal="left" vertical="center"/>
    </xf>
    <xf numFmtId="0" fontId="68" fillId="0" borderId="103" xfId="0" applyFont="1" applyBorder="1" applyAlignment="1">
      <alignment horizontal="justify" vertical="center" wrapText="1"/>
    </xf>
    <xf numFmtId="0" fontId="68" fillId="0" borderId="104" xfId="0" applyFont="1" applyBorder="1" applyAlignment="1">
      <alignment horizontal="justify" vertical="center"/>
    </xf>
    <xf numFmtId="0" fontId="68" fillId="0" borderId="104" xfId="0" applyFont="1" applyBorder="1" applyAlignment="1">
      <alignment horizontal="justify" vertical="center" wrapText="1"/>
    </xf>
    <xf numFmtId="0" fontId="68" fillId="0" borderId="104" xfId="0" applyFont="1" applyBorder="1" applyAlignment="1" applyProtection="1">
      <alignment horizontal="justify" vertical="center" wrapText="1"/>
      <protection locked="0"/>
    </xf>
    <xf numFmtId="49" fontId="68" fillId="0" borderId="104" xfId="0" applyNumberFormat="1" applyFont="1" applyBorder="1" applyAlignment="1" applyProtection="1">
      <alignment horizontal="justify" vertical="center" wrapText="1"/>
      <protection locked="0"/>
    </xf>
    <xf numFmtId="0" fontId="64" fillId="0" borderId="101" xfId="0" applyFont="1" applyBorder="1" applyAlignment="1">
      <alignment horizontal="center" vertical="center"/>
    </xf>
    <xf numFmtId="0" fontId="64" fillId="0" borderId="102" xfId="0" applyFont="1" applyBorder="1" applyAlignment="1">
      <alignment horizontal="center" vertical="center"/>
    </xf>
    <xf numFmtId="0" fontId="64" fillId="0" borderId="103" xfId="0" applyFont="1" applyBorder="1" applyAlignment="1">
      <alignment horizontal="center" vertical="center"/>
    </xf>
    <xf numFmtId="0" fontId="68" fillId="0" borderId="101" xfId="0" applyFont="1" applyBorder="1" applyAlignment="1" applyProtection="1">
      <alignment horizontal="center" vertical="center" wrapText="1"/>
      <protection locked="0"/>
    </xf>
    <xf numFmtId="0" fontId="68" fillId="0" borderId="102" xfId="0" applyFont="1" applyBorder="1" applyAlignment="1" applyProtection="1">
      <alignment horizontal="center" vertical="center" wrapText="1"/>
      <protection locked="0"/>
    </xf>
    <xf numFmtId="0" fontId="68" fillId="0" borderId="103" xfId="0" applyFont="1" applyBorder="1" applyAlignment="1" applyProtection="1">
      <alignment horizontal="center" vertical="center" wrapText="1"/>
      <protection locked="0"/>
    </xf>
    <xf numFmtId="0" fontId="68" fillId="0" borderId="104" xfId="0" applyFont="1" applyBorder="1" applyAlignment="1" applyProtection="1">
      <alignment horizontal="center" vertical="center" wrapText="1"/>
      <protection locked="0"/>
    </xf>
    <xf numFmtId="0" fontId="68" fillId="0" borderId="103" xfId="0" applyFont="1" applyBorder="1" applyAlignment="1" applyProtection="1">
      <alignment horizontal="justify" vertical="center" wrapText="1"/>
      <protection locked="0"/>
    </xf>
    <xf numFmtId="14" fontId="68" fillId="0" borderId="69" xfId="0" applyNumberFormat="1" applyFont="1" applyBorder="1" applyAlignment="1" applyProtection="1">
      <alignment horizontal="center" vertical="center"/>
      <protection locked="0"/>
    </xf>
    <xf numFmtId="14" fontId="68" fillId="0" borderId="68" xfId="0" applyNumberFormat="1" applyFont="1" applyBorder="1" applyAlignment="1" applyProtection="1">
      <alignment horizontal="center" vertical="center"/>
      <protection locked="0"/>
    </xf>
    <xf numFmtId="14" fontId="68" fillId="0" borderId="67" xfId="0" applyNumberFormat="1" applyFont="1" applyBorder="1" applyAlignment="1" applyProtection="1">
      <alignment horizontal="center" vertical="center"/>
      <protection locked="0"/>
    </xf>
    <xf numFmtId="14" fontId="68" fillId="0" borderId="104" xfId="0" applyNumberFormat="1" applyFont="1" applyBorder="1" applyAlignment="1" applyProtection="1">
      <alignment horizontal="center" vertical="center" wrapText="1"/>
      <protection locked="0"/>
    </xf>
    <xf numFmtId="14" fontId="68" fillId="0" borderId="0" xfId="0" applyNumberFormat="1" applyFont="1" applyAlignment="1" applyProtection="1">
      <alignment horizontal="center" vertical="center" wrapText="1"/>
      <protection locked="0"/>
    </xf>
    <xf numFmtId="14" fontId="68" fillId="0" borderId="0" xfId="0" applyNumberFormat="1" applyFont="1" applyAlignment="1" applyProtection="1">
      <alignment horizontal="center" vertical="center"/>
      <protection locked="0"/>
    </xf>
    <xf numFmtId="14" fontId="68" fillId="0" borderId="89" xfId="0" applyNumberFormat="1" applyFont="1" applyBorder="1" applyAlignment="1" applyProtection="1">
      <alignment horizontal="center" vertical="center"/>
      <protection locked="0"/>
    </xf>
    <xf numFmtId="14" fontId="68" fillId="0" borderId="88" xfId="0" applyNumberFormat="1" applyFont="1" applyBorder="1" applyAlignment="1" applyProtection="1">
      <alignment horizontal="center" vertical="center" wrapText="1"/>
      <protection locked="0"/>
    </xf>
    <xf numFmtId="0" fontId="68" fillId="2" borderId="101" xfId="0" applyFont="1" applyFill="1" applyBorder="1" applyAlignment="1">
      <alignment horizontal="center"/>
    </xf>
    <xf numFmtId="0" fontId="68" fillId="2" borderId="102" xfId="0" applyFont="1" applyFill="1" applyBorder="1" applyAlignment="1">
      <alignment horizontal="center"/>
    </xf>
    <xf numFmtId="0" fontId="68" fillId="2" borderId="103" xfId="0" applyFont="1" applyFill="1" applyBorder="1" applyAlignment="1">
      <alignment horizontal="center"/>
    </xf>
    <xf numFmtId="49" fontId="68" fillId="0" borderId="103" xfId="0" applyNumberFormat="1" applyFont="1" applyBorder="1" applyAlignment="1" applyProtection="1">
      <alignment horizontal="justify" vertical="center" wrapText="1"/>
      <protection locked="0"/>
    </xf>
    <xf numFmtId="0" fontId="68" fillId="0" borderId="85" xfId="0" applyFont="1" applyBorder="1" applyAlignment="1" applyProtection="1">
      <alignment horizontal="center" vertical="top"/>
      <protection locked="0"/>
    </xf>
    <xf numFmtId="0" fontId="68" fillId="0" borderId="86" xfId="0" applyFont="1" applyBorder="1" applyAlignment="1" applyProtection="1">
      <alignment horizontal="center" vertical="top"/>
      <protection locked="0"/>
    </xf>
    <xf numFmtId="0" fontId="68" fillId="0" borderId="87" xfId="0" applyFont="1" applyBorder="1" applyAlignment="1" applyProtection="1">
      <alignment horizontal="center" vertical="top"/>
      <protection locked="0"/>
    </xf>
    <xf numFmtId="14" fontId="68" fillId="0" borderId="88" xfId="0" applyNumberFormat="1" applyFont="1" applyBorder="1" applyAlignment="1" applyProtection="1">
      <alignment horizontal="center" vertical="center"/>
      <protection locked="0"/>
    </xf>
    <xf numFmtId="0" fontId="68" fillId="0" borderId="69" xfId="0" applyFont="1" applyBorder="1" applyAlignment="1" applyProtection="1">
      <alignment horizontal="center" vertical="center"/>
      <protection locked="0"/>
    </xf>
    <xf numFmtId="0" fontId="68" fillId="0" borderId="68" xfId="0" applyFont="1" applyBorder="1" applyAlignment="1" applyProtection="1">
      <alignment horizontal="center" vertical="center"/>
      <protection locked="0"/>
    </xf>
    <xf numFmtId="0" fontId="68" fillId="0" borderId="67" xfId="0" applyFont="1" applyBorder="1" applyAlignment="1" applyProtection="1">
      <alignment horizontal="center" vertical="center"/>
      <protection locked="0"/>
    </xf>
    <xf numFmtId="0" fontId="68" fillId="0" borderId="67" xfId="0" applyFont="1" applyBorder="1" applyAlignment="1" applyProtection="1">
      <alignment horizontal="center" vertical="top"/>
      <protection locked="0"/>
    </xf>
    <xf numFmtId="0" fontId="68" fillId="0" borderId="69" xfId="0" applyFont="1" applyBorder="1" applyAlignment="1" applyProtection="1">
      <alignment horizontal="center" vertical="top"/>
      <protection locked="0"/>
    </xf>
    <xf numFmtId="0" fontId="68" fillId="0" borderId="68" xfId="0" applyFont="1" applyBorder="1" applyAlignment="1" applyProtection="1">
      <alignment horizontal="center" vertical="top"/>
      <protection locked="0"/>
    </xf>
    <xf numFmtId="0" fontId="16" fillId="9" borderId="0" xfId="0" applyFont="1" applyFill="1" applyAlignment="1">
      <alignment horizontal="center" vertical="center" textRotation="90" wrapText="1" readingOrder="1"/>
    </xf>
    <xf numFmtId="0" fontId="16" fillId="9" borderId="8" xfId="0" applyFont="1" applyFill="1" applyBorder="1" applyAlignment="1">
      <alignment horizontal="center" vertical="center" textRotation="90"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0" borderId="13" xfId="0" applyFont="1" applyFill="1" applyBorder="1" applyAlignment="1">
      <alignment horizontal="center" vertical="center" wrapText="1" readingOrder="1"/>
    </xf>
    <xf numFmtId="0" fontId="19" fillId="10" borderId="14" xfId="0" applyFont="1" applyFill="1" applyBorder="1" applyAlignment="1">
      <alignment horizontal="center" vertical="center" wrapText="1" readingOrder="1"/>
    </xf>
    <xf numFmtId="0" fontId="19" fillId="10" borderId="15" xfId="0" applyFont="1" applyFill="1" applyBorder="1" applyAlignment="1">
      <alignment horizontal="center" vertical="center" wrapText="1" readingOrder="1"/>
    </xf>
    <xf numFmtId="0" fontId="19" fillId="10" borderId="16" xfId="0" applyFont="1" applyFill="1" applyBorder="1" applyAlignment="1">
      <alignment horizontal="center" vertical="center" wrapText="1" readingOrder="1"/>
    </xf>
    <xf numFmtId="0" fontId="19" fillId="10" borderId="0" xfId="0" applyFont="1" applyFill="1" applyAlignment="1">
      <alignment horizontal="center" vertical="center" wrapText="1" readingOrder="1"/>
    </xf>
    <xf numFmtId="0" fontId="19" fillId="10" borderId="17" xfId="0" applyFont="1" applyFill="1" applyBorder="1" applyAlignment="1">
      <alignment horizontal="center" vertical="center" wrapText="1" readingOrder="1"/>
    </xf>
    <xf numFmtId="0" fontId="19" fillId="10" borderId="18" xfId="0" applyFont="1" applyFill="1" applyBorder="1" applyAlignment="1">
      <alignment horizontal="center" vertical="center" wrapText="1" readingOrder="1"/>
    </xf>
    <xf numFmtId="0" fontId="19" fillId="10" borderId="19" xfId="0" applyFont="1" applyFill="1" applyBorder="1" applyAlignment="1">
      <alignment horizontal="center" vertical="center" wrapText="1" readingOrder="1"/>
    </xf>
    <xf numFmtId="0" fontId="19" fillId="10" borderId="20" xfId="0" applyFont="1" applyFill="1" applyBorder="1" applyAlignment="1">
      <alignment horizontal="center" vertical="center"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4" borderId="13" xfId="0" applyFont="1" applyFill="1" applyBorder="1" applyAlignment="1">
      <alignment horizontal="center" vertical="center" wrapText="1" readingOrder="1"/>
    </xf>
    <xf numFmtId="0" fontId="19" fillId="4" borderId="14" xfId="0" applyFont="1" applyFill="1" applyBorder="1" applyAlignment="1">
      <alignment horizontal="center" vertical="center" wrapText="1" readingOrder="1"/>
    </xf>
    <xf numFmtId="0" fontId="19" fillId="4" borderId="15" xfId="0" applyFont="1" applyFill="1" applyBorder="1" applyAlignment="1">
      <alignment horizontal="center" vertical="center" wrapText="1" readingOrder="1"/>
    </xf>
    <xf numFmtId="0" fontId="19" fillId="4" borderId="16" xfId="0" applyFont="1" applyFill="1" applyBorder="1" applyAlignment="1">
      <alignment horizontal="center" vertical="center" wrapText="1" readingOrder="1"/>
    </xf>
    <xf numFmtId="0" fontId="19" fillId="4" borderId="0" xfId="0" applyFont="1" applyFill="1" applyAlignment="1">
      <alignment horizontal="center" vertical="center" wrapText="1" readingOrder="1"/>
    </xf>
    <xf numFmtId="0" fontId="19" fillId="4" borderId="17" xfId="0" applyFont="1" applyFill="1" applyBorder="1" applyAlignment="1">
      <alignment horizontal="center" vertical="center" wrapText="1" readingOrder="1"/>
    </xf>
    <xf numFmtId="0" fontId="19" fillId="4" borderId="18" xfId="0" applyFont="1" applyFill="1" applyBorder="1" applyAlignment="1">
      <alignment horizontal="center" vertical="center" wrapText="1" readingOrder="1"/>
    </xf>
    <xf numFmtId="0" fontId="19" fillId="4" borderId="19" xfId="0" applyFont="1" applyFill="1" applyBorder="1" applyAlignment="1">
      <alignment horizontal="center" vertical="center" wrapText="1" readingOrder="1"/>
    </xf>
    <xf numFmtId="0" fontId="19" fillId="4" borderId="20" xfId="0" applyFont="1" applyFill="1" applyBorder="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8" fillId="10" borderId="0" xfId="0" applyFont="1" applyFill="1" applyAlignment="1" applyProtection="1">
      <alignment horizontal="center" vertical="center" wrapText="1" readingOrder="1"/>
      <protection hidden="1"/>
    </xf>
    <xf numFmtId="0" fontId="18" fillId="10" borderId="8" xfId="0" applyFont="1" applyFill="1" applyBorder="1" applyAlignment="1" applyProtection="1">
      <alignment horizontal="center" vertical="center" wrapText="1" readingOrder="1"/>
      <protection hidden="1"/>
    </xf>
    <xf numFmtId="0" fontId="18" fillId="10" borderId="5" xfId="0" applyFont="1" applyFill="1" applyBorder="1" applyAlignment="1" applyProtection="1">
      <alignment horizontal="center" vertical="center" wrapText="1" readingOrder="1"/>
      <protection hidden="1"/>
    </xf>
    <xf numFmtId="0" fontId="18" fillId="10" borderId="12" xfId="0" applyFont="1" applyFill="1" applyBorder="1" applyAlignment="1" applyProtection="1">
      <alignment horizontal="center" vertical="center" wrapText="1" readingOrder="1"/>
      <protection hidden="1"/>
    </xf>
    <xf numFmtId="0" fontId="18" fillId="10" borderId="7" xfId="0" applyFont="1" applyFill="1" applyBorder="1" applyAlignment="1" applyProtection="1">
      <alignment horizontal="center" vertical="center" wrapText="1" readingOrder="1"/>
      <protection hidden="1"/>
    </xf>
    <xf numFmtId="0" fontId="18" fillId="10" borderId="6" xfId="0" applyFont="1" applyFill="1" applyBorder="1" applyAlignment="1" applyProtection="1">
      <alignment horizontal="center" vertical="center" wrapText="1" readingOrder="1"/>
      <protection hidden="1"/>
    </xf>
    <xf numFmtId="0" fontId="16" fillId="9" borderId="0" xfId="0" applyFont="1" applyFill="1" applyAlignment="1">
      <alignment horizontal="center" vertical="center" wrapText="1" readingOrder="1"/>
    </xf>
    <xf numFmtId="0" fontId="15" fillId="0" borderId="12" xfId="0" applyFont="1" applyBorder="1" applyAlignment="1">
      <alignment horizontal="center" vertical="center" wrapText="1"/>
    </xf>
    <xf numFmtId="0" fontId="18" fillId="10" borderId="9" xfId="0" applyFont="1" applyFill="1" applyBorder="1" applyAlignment="1" applyProtection="1">
      <alignment horizontal="center" vertical="center" wrapText="1" readingOrder="1"/>
      <protection hidden="1"/>
    </xf>
    <xf numFmtId="0" fontId="18" fillId="10" borderId="11" xfId="0" applyFont="1" applyFill="1" applyBorder="1" applyAlignment="1" applyProtection="1">
      <alignment horizontal="center" vertical="center" wrapText="1" readingOrder="1"/>
      <protection hidden="1"/>
    </xf>
    <xf numFmtId="0" fontId="18" fillId="10" borderId="10"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wrapText="1" readingOrder="1"/>
      <protection hidden="1"/>
    </xf>
    <xf numFmtId="0" fontId="18" fillId="11" borderId="0" xfId="0" applyFont="1" applyFill="1" applyAlignment="1" applyProtection="1">
      <alignment horizontal="center" wrapText="1" readingOrder="1"/>
      <protection hidden="1"/>
    </xf>
    <xf numFmtId="0" fontId="18" fillId="11" borderId="8" xfId="0" applyFont="1" applyFill="1" applyBorder="1" applyAlignment="1" applyProtection="1">
      <alignment horizontal="center" wrapText="1" readingOrder="1"/>
      <protection hidden="1"/>
    </xf>
    <xf numFmtId="0" fontId="18" fillId="11" borderId="9" xfId="0" applyFont="1" applyFill="1" applyBorder="1" applyAlignment="1" applyProtection="1">
      <alignment horizontal="center" wrapText="1" readingOrder="1"/>
      <protection hidden="1"/>
    </xf>
    <xf numFmtId="0" fontId="18" fillId="11" borderId="11" xfId="0" applyFont="1" applyFill="1" applyBorder="1" applyAlignment="1" applyProtection="1">
      <alignment horizontal="center" wrapText="1" readingOrder="1"/>
      <protection hidden="1"/>
    </xf>
    <xf numFmtId="0" fontId="18" fillId="11" borderId="10" xfId="0" applyFont="1" applyFill="1" applyBorder="1" applyAlignment="1" applyProtection="1">
      <alignment horizontal="center" wrapText="1" readingOrder="1"/>
      <protection hidden="1"/>
    </xf>
    <xf numFmtId="0" fontId="18" fillId="11" borderId="5" xfId="0" applyFont="1" applyFill="1" applyBorder="1" applyAlignment="1" applyProtection="1">
      <alignment horizontal="center" wrapText="1" readingOrder="1"/>
      <protection hidden="1"/>
    </xf>
    <xf numFmtId="0" fontId="18" fillId="11" borderId="12" xfId="0" applyFont="1" applyFill="1" applyBorder="1" applyAlignment="1" applyProtection="1">
      <alignment horizontal="center" wrapText="1" readingOrder="1"/>
      <protection hidden="1"/>
    </xf>
    <xf numFmtId="0" fontId="18" fillId="11"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4" borderId="0" xfId="0" applyFont="1" applyFill="1" applyAlignment="1" applyProtection="1">
      <alignment horizontal="center" wrapText="1" readingOrder="1"/>
      <protection hidden="1"/>
    </xf>
    <xf numFmtId="0" fontId="18" fillId="4" borderId="8" xfId="0" applyFont="1" applyFill="1" applyBorder="1" applyAlignment="1" applyProtection="1">
      <alignment horizontal="center" wrapText="1" readingOrder="1"/>
      <protection hidden="1"/>
    </xf>
    <xf numFmtId="0" fontId="18" fillId="4" borderId="7" xfId="0" applyFont="1" applyFill="1" applyBorder="1" applyAlignment="1" applyProtection="1">
      <alignment horizontal="center" wrapText="1" readingOrder="1"/>
      <protection hidden="1"/>
    </xf>
    <xf numFmtId="0" fontId="18" fillId="4" borderId="9" xfId="0" applyFont="1" applyFill="1" applyBorder="1" applyAlignment="1" applyProtection="1">
      <alignment horizontal="center" wrapText="1" readingOrder="1"/>
      <protection hidden="1"/>
    </xf>
    <xf numFmtId="0" fontId="18" fillId="4" borderId="11" xfId="0" applyFont="1" applyFill="1" applyBorder="1" applyAlignment="1" applyProtection="1">
      <alignment horizontal="center" wrapText="1" readingOrder="1"/>
      <protection hidden="1"/>
    </xf>
    <xf numFmtId="0" fontId="18" fillId="4" borderId="10" xfId="0" applyFont="1" applyFill="1" applyBorder="1" applyAlignment="1" applyProtection="1">
      <alignment horizontal="center" wrapText="1" readingOrder="1"/>
      <protection hidden="1"/>
    </xf>
    <xf numFmtId="0" fontId="18" fillId="4" borderId="5" xfId="0" applyFont="1" applyFill="1" applyBorder="1" applyAlignment="1" applyProtection="1">
      <alignment horizontal="center" wrapText="1" readingOrder="1"/>
      <protection hidden="1"/>
    </xf>
    <xf numFmtId="0" fontId="18" fillId="4" borderId="12" xfId="0" applyFont="1" applyFill="1" applyBorder="1" applyAlignment="1" applyProtection="1">
      <alignment horizontal="center" wrapText="1" readingOrder="1"/>
      <protection hidden="1"/>
    </xf>
    <xf numFmtId="0" fontId="18" fillId="4" borderId="6" xfId="0" applyFont="1" applyFill="1" applyBorder="1" applyAlignment="1" applyProtection="1">
      <alignment horizontal="center" wrapText="1" readingOrder="1"/>
      <protection hidden="1"/>
    </xf>
    <xf numFmtId="0" fontId="23" fillId="0" borderId="0" xfId="0" applyFont="1" applyAlignment="1">
      <alignment horizontal="center" vertical="center" wrapText="1"/>
    </xf>
    <xf numFmtId="0" fontId="39" fillId="10" borderId="13" xfId="0" applyFont="1" applyFill="1" applyBorder="1" applyAlignment="1">
      <alignment horizontal="center" vertical="center" wrapText="1" readingOrder="1"/>
    </xf>
    <xf numFmtId="0" fontId="39" fillId="10" borderId="14" xfId="0" applyFont="1" applyFill="1" applyBorder="1" applyAlignment="1">
      <alignment horizontal="center" vertical="center" wrapText="1" readingOrder="1"/>
    </xf>
    <xf numFmtId="0" fontId="39" fillId="10" borderId="15" xfId="0" applyFont="1" applyFill="1" applyBorder="1" applyAlignment="1">
      <alignment horizontal="center" vertical="center" wrapText="1" readingOrder="1"/>
    </xf>
    <xf numFmtId="0" fontId="39" fillId="10" borderId="16" xfId="0" applyFont="1" applyFill="1" applyBorder="1" applyAlignment="1">
      <alignment horizontal="center" vertical="center" wrapText="1" readingOrder="1"/>
    </xf>
    <xf numFmtId="0" fontId="39" fillId="10" borderId="0" xfId="0" applyFont="1" applyFill="1" applyAlignment="1">
      <alignment horizontal="center" vertical="center" wrapText="1" readingOrder="1"/>
    </xf>
    <xf numFmtId="0" fontId="39" fillId="10" borderId="17" xfId="0" applyFont="1" applyFill="1" applyBorder="1" applyAlignment="1">
      <alignment horizontal="center" vertical="center" wrapText="1" readingOrder="1"/>
    </xf>
    <xf numFmtId="0" fontId="39" fillId="10" borderId="18" xfId="0" applyFont="1" applyFill="1" applyBorder="1" applyAlignment="1">
      <alignment horizontal="center" vertical="center" wrapText="1" readingOrder="1"/>
    </xf>
    <xf numFmtId="0" fontId="39" fillId="10" borderId="19" xfId="0" applyFont="1" applyFill="1" applyBorder="1" applyAlignment="1">
      <alignment horizontal="center" vertical="center" wrapText="1" readingOrder="1"/>
    </xf>
    <xf numFmtId="0" fontId="39" fillId="10" borderId="20" xfId="0" applyFont="1" applyFill="1" applyBorder="1" applyAlignment="1">
      <alignment horizontal="center" vertical="center" wrapText="1" readingOrder="1"/>
    </xf>
    <xf numFmtId="0" fontId="40" fillId="0" borderId="5" xfId="0" applyFont="1" applyBorder="1" applyAlignment="1">
      <alignment horizontal="center" vertical="center" wrapText="1"/>
    </xf>
    <xf numFmtId="0" fontId="40" fillId="0" borderId="12" xfId="0" applyFont="1" applyBorder="1" applyAlignment="1">
      <alignment horizontal="center" vertical="center"/>
    </xf>
    <xf numFmtId="0" fontId="40" fillId="0" borderId="7" xfId="0" applyFont="1" applyBorder="1" applyAlignment="1">
      <alignment horizontal="center" vertical="center" wrapText="1"/>
    </xf>
    <xf numFmtId="0" fontId="40" fillId="0" borderId="0" xfId="0" applyFont="1" applyAlignment="1">
      <alignment horizontal="center" vertical="center"/>
    </xf>
    <xf numFmtId="0" fontId="40" fillId="0" borderId="7" xfId="0" applyFont="1" applyBorder="1" applyAlignment="1">
      <alignment horizontal="center" vertical="center"/>
    </xf>
    <xf numFmtId="0" fontId="40" fillId="0" borderId="9" xfId="0" applyFont="1" applyBorder="1" applyAlignment="1">
      <alignment horizontal="center" vertical="center"/>
    </xf>
    <xf numFmtId="0" fontId="40" fillId="0" borderId="11" xfId="0" applyFont="1" applyBorder="1" applyAlignment="1">
      <alignment horizontal="center" vertical="center"/>
    </xf>
    <xf numFmtId="0" fontId="39" fillId="11" borderId="13" xfId="0" applyFont="1" applyFill="1" applyBorder="1" applyAlignment="1">
      <alignment horizontal="center" vertical="center" wrapText="1" readingOrder="1"/>
    </xf>
    <xf numFmtId="0" fontId="39" fillId="11" borderId="14" xfId="0" applyFont="1" applyFill="1" applyBorder="1" applyAlignment="1">
      <alignment horizontal="center" vertical="center" wrapText="1" readingOrder="1"/>
    </xf>
    <xf numFmtId="0" fontId="39" fillId="11" borderId="15" xfId="0" applyFont="1" applyFill="1" applyBorder="1" applyAlignment="1">
      <alignment horizontal="center" vertical="center" wrapText="1" readingOrder="1"/>
    </xf>
    <xf numFmtId="0" fontId="39" fillId="11" borderId="16" xfId="0" applyFont="1" applyFill="1" applyBorder="1" applyAlignment="1">
      <alignment horizontal="center" vertical="center" wrapText="1" readingOrder="1"/>
    </xf>
    <xf numFmtId="0" fontId="39" fillId="11" borderId="0" xfId="0" applyFont="1" applyFill="1" applyAlignment="1">
      <alignment horizontal="center" vertical="center" wrapText="1" readingOrder="1"/>
    </xf>
    <xf numFmtId="0" fontId="39" fillId="11" borderId="17" xfId="0" applyFont="1" applyFill="1" applyBorder="1" applyAlignment="1">
      <alignment horizontal="center" vertical="center" wrapText="1" readingOrder="1"/>
    </xf>
    <xf numFmtId="0" fontId="39" fillId="11" borderId="18" xfId="0" applyFont="1" applyFill="1" applyBorder="1" applyAlignment="1">
      <alignment horizontal="center" vertical="center" wrapText="1" readingOrder="1"/>
    </xf>
    <xf numFmtId="0" fontId="39" fillId="11" borderId="19" xfId="0" applyFont="1" applyFill="1" applyBorder="1" applyAlignment="1">
      <alignment horizontal="center" vertical="center" wrapText="1" readingOrder="1"/>
    </xf>
    <xf numFmtId="0" fontId="39" fillId="11" borderId="20" xfId="0" applyFont="1" applyFill="1" applyBorder="1" applyAlignment="1">
      <alignment horizontal="center" vertical="center" wrapText="1" readingOrder="1"/>
    </xf>
    <xf numFmtId="0" fontId="38" fillId="0" borderId="0" xfId="0" applyFont="1" applyAlignment="1">
      <alignment horizontal="center" vertical="center" wrapText="1"/>
    </xf>
    <xf numFmtId="0" fontId="20" fillId="0" borderId="0" xfId="0" applyFont="1" applyAlignment="1">
      <alignment horizontal="center" vertical="center" wrapText="1"/>
    </xf>
    <xf numFmtId="0" fontId="40" fillId="0" borderId="6" xfId="0" applyFont="1" applyBorder="1" applyAlignment="1">
      <alignment horizontal="center" vertical="center"/>
    </xf>
    <xf numFmtId="0" fontId="40" fillId="0" borderId="8" xfId="0" applyFont="1" applyBorder="1" applyAlignment="1">
      <alignment horizontal="center" vertical="center"/>
    </xf>
    <xf numFmtId="0" fontId="40" fillId="0" borderId="10" xfId="0" applyFont="1" applyBorder="1" applyAlignment="1">
      <alignment horizontal="center" vertical="center"/>
    </xf>
    <xf numFmtId="0" fontId="39" fillId="4" borderId="13" xfId="0" applyFont="1" applyFill="1" applyBorder="1" applyAlignment="1">
      <alignment horizontal="center" vertical="center" wrapText="1" readingOrder="1"/>
    </xf>
    <xf numFmtId="0" fontId="39" fillId="4" borderId="14" xfId="0" applyFont="1" applyFill="1" applyBorder="1" applyAlignment="1">
      <alignment horizontal="center" vertical="center" wrapText="1" readingOrder="1"/>
    </xf>
    <xf numFmtId="0" fontId="39" fillId="4" borderId="15" xfId="0" applyFont="1" applyFill="1" applyBorder="1" applyAlignment="1">
      <alignment horizontal="center" vertical="center" wrapText="1" readingOrder="1"/>
    </xf>
    <xf numFmtId="0" fontId="39" fillId="4" borderId="16" xfId="0" applyFont="1" applyFill="1" applyBorder="1" applyAlignment="1">
      <alignment horizontal="center" vertical="center" wrapText="1" readingOrder="1"/>
    </xf>
    <xf numFmtId="0" fontId="39" fillId="4" borderId="0" xfId="0" applyFont="1" applyFill="1" applyAlignment="1">
      <alignment horizontal="center" vertical="center" wrapText="1" readingOrder="1"/>
    </xf>
    <xf numFmtId="0" fontId="39" fillId="4" borderId="17" xfId="0" applyFont="1" applyFill="1" applyBorder="1" applyAlignment="1">
      <alignment horizontal="center" vertical="center" wrapText="1" readingOrder="1"/>
    </xf>
    <xf numFmtId="0" fontId="39" fillId="4" borderId="18" xfId="0" applyFont="1" applyFill="1" applyBorder="1" applyAlignment="1">
      <alignment horizontal="center" vertical="center" wrapText="1" readingOrder="1"/>
    </xf>
    <xf numFmtId="0" fontId="39" fillId="4" borderId="19" xfId="0" applyFont="1" applyFill="1" applyBorder="1" applyAlignment="1">
      <alignment horizontal="center" vertical="center" wrapText="1" readingOrder="1"/>
    </xf>
    <xf numFmtId="0" fontId="39" fillId="4" borderId="20" xfId="0" applyFont="1" applyFill="1" applyBorder="1" applyAlignment="1">
      <alignment horizontal="center" vertical="center" wrapText="1" readingOrder="1"/>
    </xf>
    <xf numFmtId="0" fontId="39" fillId="12" borderId="13" xfId="0" applyFont="1" applyFill="1" applyBorder="1" applyAlignment="1">
      <alignment horizontal="center" vertical="center" wrapText="1" readingOrder="1"/>
    </xf>
    <xf numFmtId="0" fontId="39" fillId="12" borderId="14" xfId="0" applyFont="1" applyFill="1" applyBorder="1" applyAlignment="1">
      <alignment horizontal="center" vertical="center" wrapText="1" readingOrder="1"/>
    </xf>
    <xf numFmtId="0" fontId="39" fillId="12" borderId="15" xfId="0" applyFont="1" applyFill="1" applyBorder="1" applyAlignment="1">
      <alignment horizontal="center" vertical="center" wrapText="1" readingOrder="1"/>
    </xf>
    <xf numFmtId="0" fontId="39" fillId="12" borderId="16" xfId="0" applyFont="1" applyFill="1" applyBorder="1" applyAlignment="1">
      <alignment horizontal="center" vertical="center" wrapText="1" readingOrder="1"/>
    </xf>
    <xf numFmtId="0" fontId="39" fillId="12" borderId="0" xfId="0" applyFont="1" applyFill="1" applyAlignment="1">
      <alignment horizontal="center" vertical="center" wrapText="1" readingOrder="1"/>
    </xf>
    <xf numFmtId="0" fontId="39" fillId="12" borderId="17" xfId="0" applyFont="1" applyFill="1" applyBorder="1" applyAlignment="1">
      <alignment horizontal="center" vertical="center" wrapText="1" readingOrder="1"/>
    </xf>
    <xf numFmtId="0" fontId="39" fillId="12" borderId="18" xfId="0" applyFont="1" applyFill="1" applyBorder="1" applyAlignment="1">
      <alignment horizontal="center" vertical="center" wrapText="1" readingOrder="1"/>
    </xf>
    <xf numFmtId="0" fontId="39" fillId="12" borderId="19" xfId="0" applyFont="1" applyFill="1" applyBorder="1" applyAlignment="1">
      <alignment horizontal="center" vertical="center" wrapText="1" readingOrder="1"/>
    </xf>
    <xf numFmtId="0" fontId="39" fillId="12" borderId="20" xfId="0" applyFont="1" applyFill="1" applyBorder="1" applyAlignment="1">
      <alignment horizontal="center" vertical="center" wrapText="1" readingOrder="1"/>
    </xf>
    <xf numFmtId="0" fontId="40" fillId="0" borderId="12" xfId="0" applyFont="1" applyBorder="1" applyAlignment="1">
      <alignment horizontal="center" vertical="center" wrapText="1"/>
    </xf>
    <xf numFmtId="0" fontId="22" fillId="0" borderId="0" xfId="0" applyFont="1" applyAlignment="1">
      <alignment horizontal="center" vertical="center"/>
    </xf>
    <xf numFmtId="0" fontId="42" fillId="0" borderId="0" xfId="0" applyFont="1" applyAlignment="1">
      <alignment horizontal="center" vertical="center"/>
    </xf>
    <xf numFmtId="0" fontId="37" fillId="14" borderId="24" xfId="0" applyFont="1" applyFill="1" applyBorder="1" applyAlignment="1">
      <alignment horizontal="center" vertical="center" wrapText="1" readingOrder="1"/>
    </xf>
    <xf numFmtId="0" fontId="37" fillId="14" borderId="25" xfId="0" applyFont="1" applyFill="1" applyBorder="1" applyAlignment="1">
      <alignment horizontal="center" vertical="center" wrapText="1" readingOrder="1"/>
    </xf>
    <xf numFmtId="0" fontId="37" fillId="14" borderId="36" xfId="0" applyFont="1" applyFill="1" applyBorder="1" applyAlignment="1">
      <alignment horizontal="center" vertical="center" wrapText="1" readingOrder="1"/>
    </xf>
    <xf numFmtId="0" fontId="32" fillId="2" borderId="0" xfId="0" applyFont="1" applyFill="1" applyAlignment="1">
      <alignment horizontal="justify" vertical="center" wrapText="1"/>
    </xf>
    <xf numFmtId="0" fontId="34" fillId="14" borderId="33" xfId="0" applyFont="1" applyFill="1" applyBorder="1" applyAlignment="1">
      <alignment horizontal="center" vertical="center" wrapText="1" readingOrder="1"/>
    </xf>
    <xf numFmtId="0" fontId="34" fillId="14" borderId="34" xfId="0" applyFont="1" applyFill="1" applyBorder="1" applyAlignment="1">
      <alignment horizontal="center" vertical="center" wrapText="1" readingOrder="1"/>
    </xf>
    <xf numFmtId="0" fontId="34" fillId="2" borderId="31" xfId="0" applyFont="1" applyFill="1" applyBorder="1" applyAlignment="1">
      <alignment horizontal="center" vertical="center" wrapText="1" readingOrder="1"/>
    </xf>
    <xf numFmtId="0" fontId="34" fillId="2" borderId="26" xfId="0" applyFont="1" applyFill="1" applyBorder="1" applyAlignment="1">
      <alignment horizontal="center" vertical="center" wrapText="1" readingOrder="1"/>
    </xf>
    <xf numFmtId="0" fontId="34" fillId="2" borderId="23" xfId="0" applyFont="1" applyFill="1" applyBorder="1" applyAlignment="1">
      <alignment horizontal="center" vertical="center" wrapText="1" readingOrder="1"/>
    </xf>
    <xf numFmtId="0" fontId="34" fillId="2" borderId="22" xfId="0" applyFont="1" applyFill="1" applyBorder="1" applyAlignment="1">
      <alignment horizontal="center" vertical="center" wrapText="1" readingOrder="1"/>
    </xf>
    <xf numFmtId="0" fontId="34" fillId="2" borderId="28" xfId="0" applyFont="1" applyFill="1" applyBorder="1" applyAlignment="1">
      <alignment horizontal="center" vertical="center" wrapText="1" readingOrder="1"/>
    </xf>
    <xf numFmtId="0" fontId="34" fillId="2" borderId="29" xfId="0" applyFont="1" applyFill="1" applyBorder="1" applyAlignment="1">
      <alignment horizontal="center" vertical="center" wrapText="1" readingOrder="1"/>
    </xf>
    <xf numFmtId="0" fontId="62" fillId="15" borderId="71" xfId="0" applyFont="1" applyFill="1" applyBorder="1" applyAlignment="1">
      <alignment horizontal="center" vertical="center"/>
    </xf>
    <xf numFmtId="0" fontId="62" fillId="15" borderId="72" xfId="0" applyFont="1" applyFill="1" applyBorder="1" applyAlignment="1">
      <alignment horizontal="center" vertical="center"/>
    </xf>
    <xf numFmtId="0" fontId="62" fillId="15" borderId="73" xfId="0" applyFont="1" applyFill="1" applyBorder="1" applyAlignment="1">
      <alignment horizontal="center" vertical="center"/>
    </xf>
    <xf numFmtId="0" fontId="62" fillId="16" borderId="24" xfId="0" applyFont="1" applyFill="1" applyBorder="1" applyAlignment="1">
      <alignment horizontal="center" vertical="center"/>
    </xf>
    <xf numFmtId="0" fontId="62" fillId="16" borderId="25" xfId="0" applyFont="1" applyFill="1" applyBorder="1" applyAlignment="1">
      <alignment horizontal="center" vertical="center"/>
    </xf>
    <xf numFmtId="0" fontId="62" fillId="16" borderId="36" xfId="0" applyFont="1" applyFill="1" applyBorder="1" applyAlignment="1">
      <alignment horizontal="center" vertical="center"/>
    </xf>
  </cellXfs>
  <cellStyles count="6">
    <cellStyle name="Excel Built-in Normal" xfId="5" xr:uid="{00000000-0005-0000-0000-000000000000}"/>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38">
    <dxf>
      <fill>
        <patternFill>
          <bgColor rgb="FFFFFF00"/>
        </patternFill>
      </fill>
    </dxf>
    <dxf>
      <fill>
        <patternFill>
          <bgColor theme="9" tint="-0.24994659260841701"/>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314325</xdr:colOff>
      <xdr:row>1</xdr:row>
      <xdr:rowOff>95250</xdr:rowOff>
    </xdr:from>
    <xdr:to>
      <xdr:col>2</xdr:col>
      <xdr:colOff>1238250</xdr:colOff>
      <xdr:row>3</xdr:row>
      <xdr:rowOff>224678</xdr:rowOff>
    </xdr:to>
    <xdr:pic>
      <xdr:nvPicPr>
        <xdr:cNvPr id="2" name="Imagen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285750"/>
          <a:ext cx="923925" cy="853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95251</xdr:colOff>
      <xdr:row>0</xdr:row>
      <xdr:rowOff>119063</xdr:rowOff>
    </xdr:from>
    <xdr:to>
      <xdr:col>3</xdr:col>
      <xdr:colOff>135731</xdr:colOff>
      <xdr:row>2</xdr:row>
      <xdr:rowOff>250032</xdr:rowOff>
    </xdr:to>
    <xdr:pic>
      <xdr:nvPicPr>
        <xdr:cNvPr id="2" name="Imagen 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357189" y="119063"/>
          <a:ext cx="1171574" cy="11310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ESAR/Riesgos/FORMATO%20MAPA%20DE%20RIESGOS%20APOYO%20DIGSA%20-%20AREDO%20V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ESAR/Riesgos/FORMATO%20MAPA%20DE%20RIESGOS%20APOYO%20DIGSA%20ASUNTO%20LEGALES%20V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ESAR/RIESGOS/RIESGOS%202022/25102022%20MAPA%20DE%20RIESGOS%20DIGSA2023%20V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ESAR/Riesgos/FORMATO%20MAPA%20DE%20RIESGOS%20APOYO%20GRUTH%202V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ulisal\Downloads\FORMATO%20MAPA%20DE%20RIESGOS%20APOYO%20DIGSA%20SST%2020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julisal\Downloads\02_Formato%20Mapa%20de%20Riesgos%20DIGSA-GRUAA%20OCT%202022%20V8.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SAR/RIESGOS/02_Formato%20Mapa%20de%20Riesgos%20DIGSA-GRUAA%20OCT%202022%20V8%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Institucional"/>
      <sheetName val="consolidado"/>
      <sheetName val="Mapa Institucional (2)"/>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6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6" dataDxfId="5">
  <autoFilter ref="B209:C219" xr:uid="{00000000-0009-0000-0100-000001000000}"/>
  <tableColumns count="2">
    <tableColumn id="1" xr3:uid="{00000000-0010-0000-0000-000001000000}" name="Criterios" dataDxfId="4"/>
    <tableColumn id="2" xr3:uid="{00000000-0010-0000-0000-000002000000}" name="Subcriterios" dataDxfId="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2:N15"/>
  <sheetViews>
    <sheetView view="pageBreakPreview" zoomScale="60" zoomScaleNormal="100" workbookViewId="0">
      <selection activeCell="G12" sqref="G12:M12"/>
    </sheetView>
  </sheetViews>
  <sheetFormatPr baseColWidth="10" defaultRowHeight="15" x14ac:dyDescent="0.25"/>
  <cols>
    <col min="1" max="1" width="5" customWidth="1"/>
    <col min="3" max="5" width="23.140625" customWidth="1"/>
    <col min="6" max="8" width="19.28515625" customWidth="1"/>
    <col min="9" max="11" width="20" customWidth="1"/>
    <col min="12" max="14" width="17.5703125" customWidth="1"/>
  </cols>
  <sheetData>
    <row r="2" spans="3:14" ht="28.5" customHeight="1" x14ac:dyDescent="0.25">
      <c r="C2" s="206"/>
      <c r="D2" s="206"/>
      <c r="E2" s="207" t="s">
        <v>306</v>
      </c>
      <c r="F2" s="207"/>
      <c r="G2" s="207"/>
      <c r="H2" s="207"/>
      <c r="I2" s="207"/>
      <c r="J2" s="207"/>
      <c r="K2" s="208" t="s">
        <v>215</v>
      </c>
      <c r="L2" s="208"/>
      <c r="M2" s="208"/>
      <c r="N2" s="208"/>
    </row>
    <row r="3" spans="3:14" ht="28.5" customHeight="1" x14ac:dyDescent="0.25">
      <c r="C3" s="206"/>
      <c r="D3" s="206"/>
      <c r="E3" s="207"/>
      <c r="F3" s="207"/>
      <c r="G3" s="207"/>
      <c r="H3" s="207"/>
      <c r="I3" s="207"/>
      <c r="J3" s="207"/>
      <c r="K3" s="209" t="s">
        <v>216</v>
      </c>
      <c r="L3" s="209"/>
      <c r="M3" s="209"/>
      <c r="N3" s="209"/>
    </row>
    <row r="4" spans="3:14" ht="28.5" customHeight="1" x14ac:dyDescent="0.25">
      <c r="C4" s="206"/>
      <c r="D4" s="206"/>
      <c r="E4" s="207"/>
      <c r="F4" s="207"/>
      <c r="G4" s="207"/>
      <c r="H4" s="207"/>
      <c r="I4" s="207"/>
      <c r="J4" s="207"/>
      <c r="K4" s="209" t="s">
        <v>307</v>
      </c>
      <c r="L4" s="209"/>
      <c r="M4" s="209"/>
      <c r="N4" s="209"/>
    </row>
    <row r="5" spans="3:14" x14ac:dyDescent="0.25">
      <c r="C5" s="203"/>
      <c r="D5" s="204"/>
      <c r="E5" s="204"/>
      <c r="F5" s="204"/>
      <c r="G5" s="204"/>
      <c r="H5" s="204"/>
      <c r="I5" s="204"/>
      <c r="J5" s="204"/>
      <c r="K5" s="204"/>
      <c r="L5" s="204"/>
      <c r="M5" s="204"/>
      <c r="N5" s="205"/>
    </row>
    <row r="6" spans="3:14" ht="20.25" customHeight="1" x14ac:dyDescent="0.25">
      <c r="C6" s="210" t="s">
        <v>308</v>
      </c>
      <c r="D6" s="211"/>
      <c r="E6" s="211"/>
      <c r="F6" s="211"/>
      <c r="G6" s="211"/>
      <c r="H6" s="211"/>
      <c r="I6" s="211"/>
      <c r="J6" s="211"/>
      <c r="K6" s="211"/>
      <c r="L6" s="211"/>
      <c r="M6" s="211"/>
      <c r="N6" s="212"/>
    </row>
    <row r="7" spans="3:14" ht="30.75" customHeight="1" x14ac:dyDescent="0.25">
      <c r="C7" s="213"/>
      <c r="D7" s="145" t="s">
        <v>309</v>
      </c>
      <c r="E7" s="216" t="s">
        <v>310</v>
      </c>
      <c r="F7" s="216"/>
      <c r="G7" s="216" t="s">
        <v>311</v>
      </c>
      <c r="H7" s="216"/>
      <c r="I7" s="216"/>
      <c r="J7" s="216"/>
      <c r="K7" s="216"/>
      <c r="L7" s="216"/>
      <c r="M7" s="216"/>
      <c r="N7" s="217"/>
    </row>
    <row r="8" spans="3:14" ht="51.75" customHeight="1" x14ac:dyDescent="0.25">
      <c r="C8" s="214"/>
      <c r="D8" s="146">
        <v>1</v>
      </c>
      <c r="E8" s="220" t="s">
        <v>312</v>
      </c>
      <c r="F8" s="220"/>
      <c r="G8" s="221" t="s">
        <v>313</v>
      </c>
      <c r="H8" s="221"/>
      <c r="I8" s="221"/>
      <c r="J8" s="221"/>
      <c r="K8" s="221"/>
      <c r="L8" s="221"/>
      <c r="M8" s="221"/>
      <c r="N8" s="218"/>
    </row>
    <row r="9" spans="3:14" ht="51.75" customHeight="1" x14ac:dyDescent="0.25">
      <c r="C9" s="214"/>
      <c r="D9" s="146">
        <v>2</v>
      </c>
      <c r="E9" s="220" t="s">
        <v>314</v>
      </c>
      <c r="F9" s="220"/>
      <c r="G9" s="222" t="s">
        <v>315</v>
      </c>
      <c r="H9" s="222"/>
      <c r="I9" s="222"/>
      <c r="J9" s="222"/>
      <c r="K9" s="222"/>
      <c r="L9" s="222"/>
      <c r="M9" s="222"/>
      <c r="N9" s="218"/>
    </row>
    <row r="10" spans="3:14" ht="51.75" customHeight="1" x14ac:dyDescent="0.25">
      <c r="C10" s="214"/>
      <c r="D10" s="147">
        <v>3</v>
      </c>
      <c r="E10" s="223" t="s">
        <v>316</v>
      </c>
      <c r="F10" s="223"/>
      <c r="G10" s="224" t="s">
        <v>317</v>
      </c>
      <c r="H10" s="225"/>
      <c r="I10" s="225"/>
      <c r="J10" s="225"/>
      <c r="K10" s="225"/>
      <c r="L10" s="225"/>
      <c r="M10" s="226"/>
      <c r="N10" s="218"/>
    </row>
    <row r="11" spans="3:14" ht="162" customHeight="1" x14ac:dyDescent="0.25">
      <c r="C11" s="215"/>
      <c r="D11" s="147">
        <v>4</v>
      </c>
      <c r="E11" s="223" t="s">
        <v>318</v>
      </c>
      <c r="F11" s="223"/>
      <c r="G11" s="224" t="s">
        <v>319</v>
      </c>
      <c r="H11" s="225"/>
      <c r="I11" s="225"/>
      <c r="J11" s="225"/>
      <c r="K11" s="225"/>
      <c r="L11" s="225"/>
      <c r="M11" s="226"/>
      <c r="N11" s="218"/>
    </row>
    <row r="12" spans="3:14" ht="73.5" customHeight="1" x14ac:dyDescent="0.25">
      <c r="C12" s="148"/>
      <c r="D12" s="147">
        <v>5</v>
      </c>
      <c r="E12" s="223" t="s">
        <v>320</v>
      </c>
      <c r="F12" s="223"/>
      <c r="G12" s="224" t="s">
        <v>321</v>
      </c>
      <c r="H12" s="225"/>
      <c r="I12" s="225"/>
      <c r="J12" s="225"/>
      <c r="K12" s="225"/>
      <c r="L12" s="225"/>
      <c r="M12" s="226"/>
      <c r="N12" s="219"/>
    </row>
    <row r="13" spans="3:14" ht="36.75" customHeight="1" x14ac:dyDescent="0.25">
      <c r="C13" s="210" t="s">
        <v>322</v>
      </c>
      <c r="D13" s="211"/>
      <c r="E13" s="211"/>
      <c r="F13" s="211"/>
      <c r="G13" s="211"/>
      <c r="H13" s="211"/>
      <c r="I13" s="211"/>
      <c r="J13" s="211"/>
      <c r="K13" s="211"/>
      <c r="L13" s="211"/>
      <c r="M13" s="211"/>
      <c r="N13" s="212"/>
    </row>
    <row r="14" spans="3:14" x14ac:dyDescent="0.25">
      <c r="C14" s="227" t="s">
        <v>323</v>
      </c>
      <c r="D14" s="228"/>
      <c r="E14" s="229"/>
      <c r="F14" s="227" t="s">
        <v>324</v>
      </c>
      <c r="G14" s="228"/>
      <c r="H14" s="228"/>
      <c r="I14" s="228"/>
      <c r="J14" s="228"/>
      <c r="K14" s="229"/>
      <c r="L14" s="227" t="s">
        <v>325</v>
      </c>
      <c r="M14" s="228"/>
      <c r="N14" s="229"/>
    </row>
    <row r="15" spans="3:14" ht="254.25" customHeight="1" x14ac:dyDescent="0.25">
      <c r="C15" s="230" t="s">
        <v>326</v>
      </c>
      <c r="D15" s="230"/>
      <c r="E15" s="230"/>
      <c r="F15" s="230" t="s">
        <v>327</v>
      </c>
      <c r="G15" s="230"/>
      <c r="H15" s="230"/>
      <c r="I15" s="230" t="s">
        <v>328</v>
      </c>
      <c r="J15" s="230"/>
      <c r="K15" s="230"/>
      <c r="L15" s="230" t="s">
        <v>329</v>
      </c>
      <c r="M15" s="230"/>
      <c r="N15" s="230"/>
    </row>
  </sheetData>
  <mergeCells count="29">
    <mergeCell ref="C14:E14"/>
    <mergeCell ref="F14:K14"/>
    <mergeCell ref="L14:N14"/>
    <mergeCell ref="C15:E15"/>
    <mergeCell ref="F15:H15"/>
    <mergeCell ref="I15:K15"/>
    <mergeCell ref="L15:N15"/>
    <mergeCell ref="C13:N13"/>
    <mergeCell ref="C6:N6"/>
    <mergeCell ref="C7:C11"/>
    <mergeCell ref="E7:F7"/>
    <mergeCell ref="G7:M7"/>
    <mergeCell ref="N7:N12"/>
    <mergeCell ref="E8:F8"/>
    <mergeCell ref="G8:M8"/>
    <mergeCell ref="E9:F9"/>
    <mergeCell ref="G9:M9"/>
    <mergeCell ref="E10:F10"/>
    <mergeCell ref="G10:M10"/>
    <mergeCell ref="E11:F11"/>
    <mergeCell ref="G11:M11"/>
    <mergeCell ref="E12:F12"/>
    <mergeCell ref="G12:M12"/>
    <mergeCell ref="C5:N5"/>
    <mergeCell ref="C2:D4"/>
    <mergeCell ref="E2:J4"/>
    <mergeCell ref="K2:N2"/>
    <mergeCell ref="K3:N3"/>
    <mergeCell ref="K4:N4"/>
  </mergeCells>
  <printOptions horizontalCentered="1" verticalCentered="1"/>
  <pageMargins left="0.70866141732283472" right="0.70866141732283472" top="0.4" bottom="0.45" header="0.31496062992125984" footer="0.31496062992125984"/>
  <pageSetup paperSize="5" scale="6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C00000"/>
  </sheetPr>
  <dimension ref="A1:R33"/>
  <sheetViews>
    <sheetView showGridLines="0" zoomScaleNormal="100" workbookViewId="0">
      <selection activeCell="I25" sqref="I25"/>
    </sheetView>
  </sheetViews>
  <sheetFormatPr baseColWidth="10" defaultRowHeight="15" x14ac:dyDescent="0.25"/>
  <cols>
    <col min="1" max="1" width="11.85546875" customWidth="1"/>
    <col min="2" max="2" width="63.140625" customWidth="1"/>
    <col min="3" max="4" width="10.5703125" customWidth="1"/>
    <col min="5" max="18" width="9.5703125" customWidth="1"/>
  </cols>
  <sheetData>
    <row r="1" spans="1:18" ht="15.75" thickBot="1" x14ac:dyDescent="0.3"/>
    <row r="2" spans="1:18" ht="15.75" thickBot="1" x14ac:dyDescent="0.3">
      <c r="A2" s="581" t="s">
        <v>249</v>
      </c>
      <c r="B2" s="582"/>
      <c r="C2" s="582"/>
      <c r="D2" s="582"/>
      <c r="E2" s="583"/>
    </row>
    <row r="3" spans="1:18" ht="15.75" thickBot="1" x14ac:dyDescent="0.3">
      <c r="A3" s="122" t="s">
        <v>250</v>
      </c>
      <c r="B3" s="123" t="s">
        <v>251</v>
      </c>
      <c r="C3" s="123" t="s">
        <v>359</v>
      </c>
      <c r="D3" s="123" t="s">
        <v>360</v>
      </c>
      <c r="E3" s="123" t="s">
        <v>361</v>
      </c>
      <c r="F3" s="123" t="s">
        <v>362</v>
      </c>
      <c r="G3" s="123" t="s">
        <v>363</v>
      </c>
      <c r="H3" s="123" t="s">
        <v>364</v>
      </c>
      <c r="I3" s="123" t="s">
        <v>365</v>
      </c>
      <c r="J3" s="123" t="s">
        <v>366</v>
      </c>
      <c r="K3" s="123" t="s">
        <v>367</v>
      </c>
      <c r="L3" s="123" t="s">
        <v>368</v>
      </c>
      <c r="M3" s="123" t="s">
        <v>369</v>
      </c>
      <c r="N3" s="123" t="s">
        <v>370</v>
      </c>
      <c r="O3" s="123" t="s">
        <v>371</v>
      </c>
      <c r="P3" s="123" t="s">
        <v>372</v>
      </c>
      <c r="Q3" s="123" t="s">
        <v>373</v>
      </c>
      <c r="R3" s="123" t="s">
        <v>374</v>
      </c>
    </row>
    <row r="4" spans="1:18" ht="15.75" thickBot="1" x14ac:dyDescent="0.3">
      <c r="A4" s="124">
        <v>1</v>
      </c>
      <c r="B4" s="125" t="s">
        <v>254</v>
      </c>
      <c r="C4" s="126"/>
      <c r="D4" s="126"/>
      <c r="E4" s="126"/>
      <c r="F4" s="126"/>
      <c r="G4" s="126"/>
      <c r="H4" s="126"/>
      <c r="I4" s="126"/>
      <c r="J4" s="126"/>
      <c r="K4" s="126"/>
      <c r="L4" s="126"/>
      <c r="M4" s="126"/>
      <c r="N4" s="126"/>
      <c r="O4" s="126"/>
      <c r="P4" s="126"/>
      <c r="Q4" s="126"/>
      <c r="R4" s="126"/>
    </row>
    <row r="5" spans="1:18" ht="15.75" thickBot="1" x14ac:dyDescent="0.3">
      <c r="A5" s="124">
        <v>2</v>
      </c>
      <c r="B5" s="125" t="s">
        <v>255</v>
      </c>
      <c r="C5" s="126"/>
      <c r="D5" s="126"/>
      <c r="E5" s="126"/>
      <c r="F5" s="126"/>
      <c r="G5" s="126"/>
      <c r="H5" s="126"/>
      <c r="I5" s="126"/>
      <c r="J5" s="126"/>
      <c r="K5" s="126"/>
      <c r="L5" s="126"/>
      <c r="M5" s="126"/>
      <c r="N5" s="126"/>
      <c r="O5" s="126"/>
      <c r="P5" s="126"/>
      <c r="Q5" s="126"/>
      <c r="R5" s="126"/>
    </row>
    <row r="6" spans="1:18" ht="15.75" thickBot="1" x14ac:dyDescent="0.3">
      <c r="A6" s="124">
        <v>3</v>
      </c>
      <c r="B6" s="125" t="s">
        <v>256</v>
      </c>
      <c r="C6" s="126"/>
      <c r="D6" s="126"/>
      <c r="E6" s="126"/>
      <c r="F6" s="126"/>
      <c r="G6" s="126"/>
      <c r="H6" s="126"/>
      <c r="I6" s="126"/>
      <c r="J6" s="126"/>
      <c r="K6" s="126"/>
      <c r="L6" s="126"/>
      <c r="M6" s="126"/>
      <c r="N6" s="126"/>
      <c r="O6" s="126"/>
      <c r="P6" s="126"/>
      <c r="Q6" s="126"/>
      <c r="R6" s="126"/>
    </row>
    <row r="7" spans="1:18" ht="15.75" thickBot="1" x14ac:dyDescent="0.3">
      <c r="A7" s="124">
        <v>4</v>
      </c>
      <c r="B7" s="125" t="s">
        <v>257</v>
      </c>
      <c r="C7" s="126"/>
      <c r="D7" s="126"/>
      <c r="E7" s="126"/>
      <c r="F7" s="126"/>
      <c r="G7" s="126"/>
      <c r="H7" s="126"/>
      <c r="I7" s="126"/>
      <c r="J7" s="126"/>
      <c r="K7" s="126"/>
      <c r="L7" s="126"/>
      <c r="M7" s="126"/>
      <c r="N7" s="126"/>
      <c r="O7" s="126"/>
      <c r="P7" s="126"/>
      <c r="Q7" s="126"/>
      <c r="R7" s="126"/>
    </row>
    <row r="8" spans="1:18" ht="15.75" thickBot="1" x14ac:dyDescent="0.3">
      <c r="A8" s="124">
        <v>5</v>
      </c>
      <c r="B8" s="125" t="s">
        <v>258</v>
      </c>
      <c r="C8" s="126"/>
      <c r="D8" s="126"/>
      <c r="E8" s="126"/>
      <c r="F8" s="126"/>
      <c r="G8" s="126"/>
      <c r="H8" s="126"/>
      <c r="I8" s="126"/>
      <c r="J8" s="126"/>
      <c r="K8" s="126"/>
      <c r="L8" s="126"/>
      <c r="M8" s="126"/>
      <c r="N8" s="126"/>
      <c r="O8" s="126"/>
      <c r="P8" s="126"/>
      <c r="Q8" s="126"/>
      <c r="R8" s="126"/>
    </row>
    <row r="9" spans="1:18" ht="15.75" thickBot="1" x14ac:dyDescent="0.3">
      <c r="A9" s="124">
        <v>6</v>
      </c>
      <c r="B9" s="125" t="s">
        <v>259</v>
      </c>
      <c r="C9" s="126"/>
      <c r="D9" s="126"/>
      <c r="E9" s="126"/>
      <c r="F9" s="126"/>
      <c r="G9" s="126"/>
      <c r="H9" s="126"/>
      <c r="I9" s="126"/>
      <c r="J9" s="126"/>
      <c r="K9" s="126"/>
      <c r="L9" s="126"/>
      <c r="M9" s="126"/>
      <c r="N9" s="126"/>
      <c r="O9" s="126"/>
      <c r="P9" s="126"/>
      <c r="Q9" s="126"/>
      <c r="R9" s="126"/>
    </row>
    <row r="10" spans="1:18" ht="22.5" customHeight="1" thickBot="1" x14ac:dyDescent="0.3">
      <c r="A10" s="124">
        <v>7</v>
      </c>
      <c r="B10" s="125" t="s">
        <v>260</v>
      </c>
      <c r="C10" s="126"/>
      <c r="D10" s="126"/>
      <c r="E10" s="126"/>
      <c r="F10" s="126"/>
      <c r="G10" s="126"/>
      <c r="H10" s="126"/>
      <c r="I10" s="126"/>
      <c r="J10" s="126"/>
      <c r="K10" s="126"/>
      <c r="L10" s="126"/>
      <c r="M10" s="126"/>
      <c r="N10" s="126"/>
      <c r="O10" s="126"/>
      <c r="P10" s="126"/>
      <c r="Q10" s="126"/>
      <c r="R10" s="126"/>
    </row>
    <row r="11" spans="1:18" ht="24.75" customHeight="1" thickBot="1" x14ac:dyDescent="0.3">
      <c r="A11" s="124">
        <v>8</v>
      </c>
      <c r="B11" s="127" t="s">
        <v>261</v>
      </c>
      <c r="C11" s="126"/>
      <c r="D11" s="126"/>
      <c r="E11" s="126"/>
      <c r="F11" s="126"/>
      <c r="G11" s="126"/>
      <c r="H11" s="126"/>
      <c r="I11" s="126"/>
      <c r="J11" s="126"/>
      <c r="K11" s="126"/>
      <c r="L11" s="126"/>
      <c r="M11" s="126"/>
      <c r="N11" s="126"/>
      <c r="O11" s="126"/>
      <c r="P11" s="126"/>
      <c r="Q11" s="126"/>
      <c r="R11" s="126"/>
    </row>
    <row r="12" spans="1:18" ht="15.75" thickBot="1" x14ac:dyDescent="0.3">
      <c r="A12" s="124">
        <v>9</v>
      </c>
      <c r="B12" s="125" t="s">
        <v>262</v>
      </c>
      <c r="C12" s="126"/>
      <c r="D12" s="126"/>
      <c r="E12" s="126"/>
      <c r="F12" s="126"/>
      <c r="G12" s="126"/>
      <c r="H12" s="126"/>
      <c r="I12" s="126"/>
      <c r="J12" s="126"/>
      <c r="K12" s="126"/>
      <c r="L12" s="126"/>
      <c r="M12" s="126"/>
      <c r="N12" s="126"/>
      <c r="O12" s="126"/>
      <c r="P12" s="126"/>
      <c r="Q12" s="126"/>
      <c r="R12" s="126"/>
    </row>
    <row r="13" spans="1:18" ht="15.75" thickBot="1" x14ac:dyDescent="0.3">
      <c r="A13" s="124">
        <v>10</v>
      </c>
      <c r="B13" s="125" t="s">
        <v>263</v>
      </c>
      <c r="C13" s="126"/>
      <c r="D13" s="126"/>
      <c r="E13" s="126"/>
      <c r="F13" s="126"/>
      <c r="G13" s="126"/>
      <c r="H13" s="126"/>
      <c r="I13" s="126"/>
      <c r="J13" s="126"/>
      <c r="K13" s="126"/>
      <c r="L13" s="126"/>
      <c r="M13" s="126"/>
      <c r="N13" s="126"/>
      <c r="O13" s="126"/>
      <c r="P13" s="126"/>
      <c r="Q13" s="126"/>
      <c r="R13" s="126"/>
    </row>
    <row r="14" spans="1:18" ht="15.75" thickBot="1" x14ac:dyDescent="0.3">
      <c r="A14" s="124">
        <v>11</v>
      </c>
      <c r="B14" s="125" t="s">
        <v>264</v>
      </c>
      <c r="C14" s="126"/>
      <c r="D14" s="126"/>
      <c r="E14" s="126"/>
      <c r="F14" s="126"/>
      <c r="G14" s="126"/>
      <c r="H14" s="126"/>
      <c r="I14" s="126"/>
      <c r="J14" s="126"/>
      <c r="K14" s="126"/>
      <c r="L14" s="126"/>
      <c r="M14" s="126"/>
      <c r="N14" s="126"/>
      <c r="O14" s="126"/>
      <c r="P14" s="126"/>
      <c r="Q14" s="126"/>
      <c r="R14" s="126"/>
    </row>
    <row r="15" spans="1:18" ht="15.75" thickBot="1" x14ac:dyDescent="0.3">
      <c r="A15" s="124">
        <v>12</v>
      </c>
      <c r="B15" s="125" t="s">
        <v>265</v>
      </c>
      <c r="C15" s="126"/>
      <c r="D15" s="126"/>
      <c r="E15" s="126"/>
      <c r="F15" s="126"/>
      <c r="G15" s="126"/>
      <c r="H15" s="126"/>
      <c r="I15" s="126"/>
      <c r="J15" s="126"/>
      <c r="K15" s="126"/>
      <c r="L15" s="126"/>
      <c r="M15" s="126"/>
      <c r="N15" s="126"/>
      <c r="O15" s="126"/>
      <c r="P15" s="126"/>
      <c r="Q15" s="126"/>
      <c r="R15" s="126"/>
    </row>
    <row r="16" spans="1:18" ht="15.75" thickBot="1" x14ac:dyDescent="0.3">
      <c r="A16" s="124">
        <v>13</v>
      </c>
      <c r="B16" s="125" t="s">
        <v>266</v>
      </c>
      <c r="C16" s="126"/>
      <c r="D16" s="126"/>
      <c r="E16" s="126"/>
      <c r="F16" s="126"/>
      <c r="G16" s="126"/>
      <c r="H16" s="126"/>
      <c r="I16" s="126"/>
      <c r="J16" s="126"/>
      <c r="K16" s="126"/>
      <c r="L16" s="126"/>
      <c r="M16" s="126"/>
      <c r="N16" s="126"/>
      <c r="O16" s="126"/>
      <c r="P16" s="126"/>
      <c r="Q16" s="126"/>
      <c r="R16" s="126"/>
    </row>
    <row r="17" spans="1:18" ht="15.75" thickBot="1" x14ac:dyDescent="0.3">
      <c r="A17" s="124">
        <v>14</v>
      </c>
      <c r="B17" s="125" t="s">
        <v>267</v>
      </c>
      <c r="C17" s="126"/>
      <c r="D17" s="126"/>
      <c r="E17" s="126"/>
      <c r="F17" s="126"/>
      <c r="G17" s="126"/>
      <c r="H17" s="126"/>
      <c r="I17" s="126"/>
      <c r="J17" s="126"/>
      <c r="K17" s="126"/>
      <c r="L17" s="126"/>
      <c r="M17" s="126"/>
      <c r="N17" s="126"/>
      <c r="O17" s="126"/>
      <c r="P17" s="126"/>
      <c r="Q17" s="126"/>
      <c r="R17" s="126"/>
    </row>
    <row r="18" spans="1:18" ht="15.75" thickBot="1" x14ac:dyDescent="0.3">
      <c r="A18" s="124">
        <v>15</v>
      </c>
      <c r="B18" s="125" t="s">
        <v>268</v>
      </c>
      <c r="C18" s="126"/>
      <c r="D18" s="126"/>
      <c r="E18" s="126"/>
      <c r="F18" s="126"/>
      <c r="G18" s="126"/>
      <c r="H18" s="126"/>
      <c r="I18" s="126"/>
      <c r="J18" s="126"/>
      <c r="K18" s="126"/>
      <c r="L18" s="126"/>
      <c r="M18" s="126"/>
      <c r="N18" s="126"/>
      <c r="O18" s="126"/>
      <c r="P18" s="126"/>
      <c r="Q18" s="126"/>
      <c r="R18" s="126"/>
    </row>
    <row r="19" spans="1:18" ht="15.75" thickBot="1" x14ac:dyDescent="0.3">
      <c r="A19" s="124">
        <v>16</v>
      </c>
      <c r="B19" s="125" t="s">
        <v>269</v>
      </c>
      <c r="C19" s="126"/>
      <c r="D19" s="126"/>
      <c r="E19" s="126"/>
      <c r="F19" s="126"/>
      <c r="G19" s="126"/>
      <c r="H19" s="126"/>
      <c r="I19" s="126"/>
      <c r="J19" s="126"/>
      <c r="K19" s="126"/>
      <c r="L19" s="126"/>
      <c r="M19" s="126"/>
      <c r="N19" s="126"/>
      <c r="O19" s="126"/>
      <c r="P19" s="126"/>
      <c r="Q19" s="126"/>
      <c r="R19" s="126"/>
    </row>
    <row r="20" spans="1:18" ht="15.75" thickBot="1" x14ac:dyDescent="0.3">
      <c r="A20" s="124">
        <v>17</v>
      </c>
      <c r="B20" s="125" t="s">
        <v>270</v>
      </c>
      <c r="C20" s="126"/>
      <c r="D20" s="126"/>
      <c r="E20" s="126"/>
      <c r="F20" s="126"/>
      <c r="G20" s="126"/>
      <c r="H20" s="126"/>
      <c r="I20" s="126"/>
      <c r="J20" s="126"/>
      <c r="K20" s="126"/>
      <c r="L20" s="126"/>
      <c r="M20" s="126"/>
      <c r="N20" s="126"/>
      <c r="O20" s="126"/>
      <c r="P20" s="126"/>
      <c r="Q20" s="126"/>
      <c r="R20" s="126"/>
    </row>
    <row r="21" spans="1:18" ht="15.75" thickBot="1" x14ac:dyDescent="0.3">
      <c r="A21" s="124">
        <v>18</v>
      </c>
      <c r="B21" s="125" t="s">
        <v>271</v>
      </c>
      <c r="C21" s="126"/>
      <c r="D21" s="126"/>
      <c r="E21" s="126"/>
      <c r="F21" s="126"/>
      <c r="G21" s="126"/>
      <c r="H21" s="126"/>
      <c r="I21" s="126"/>
      <c r="J21" s="126"/>
      <c r="K21" s="126"/>
      <c r="L21" s="126"/>
      <c r="M21" s="126"/>
      <c r="N21" s="126"/>
      <c r="O21" s="126"/>
      <c r="P21" s="126"/>
      <c r="Q21" s="126"/>
      <c r="R21" s="126"/>
    </row>
    <row r="22" spans="1:18" ht="15.75" thickBot="1" x14ac:dyDescent="0.3">
      <c r="A22" s="124">
        <v>19</v>
      </c>
      <c r="B22" s="125" t="s">
        <v>272</v>
      </c>
      <c r="C22" s="126"/>
      <c r="D22" s="126"/>
      <c r="E22" s="126"/>
      <c r="F22" s="126"/>
      <c r="G22" s="126"/>
      <c r="H22" s="126"/>
      <c r="I22" s="126"/>
      <c r="J22" s="126"/>
      <c r="K22" s="126"/>
      <c r="L22" s="126"/>
      <c r="M22" s="126"/>
      <c r="N22" s="126"/>
      <c r="O22" s="126"/>
      <c r="P22" s="126"/>
      <c r="Q22" s="126"/>
      <c r="R22" s="126"/>
    </row>
    <row r="23" spans="1:18" ht="15.75" thickBot="1" x14ac:dyDescent="0.3">
      <c r="A23" s="128" t="s">
        <v>273</v>
      </c>
      <c r="B23" s="129"/>
      <c r="C23" s="126">
        <f>IF(AND(COUNTA(C4:C22)&gt;=0,COUNTA(C4:C22)&lt;19),0+COUNTA(C4:C22),19)</f>
        <v>0</v>
      </c>
      <c r="D23" s="126">
        <f t="shared" ref="D23:L23" si="0">IF(AND(COUNTA(D4:D22)&gt;=0,COUNTA(D4:D22)&lt;19),0+COUNTA(D4:D22),19)</f>
        <v>0</v>
      </c>
      <c r="E23" s="126">
        <f t="shared" si="0"/>
        <v>0</v>
      </c>
      <c r="F23" s="126">
        <f t="shared" si="0"/>
        <v>0</v>
      </c>
      <c r="G23" s="126">
        <f t="shared" si="0"/>
        <v>0</v>
      </c>
      <c r="H23" s="126">
        <f t="shared" si="0"/>
        <v>0</v>
      </c>
      <c r="I23" s="126">
        <f t="shared" si="0"/>
        <v>0</v>
      </c>
      <c r="J23" s="126">
        <f t="shared" si="0"/>
        <v>0</v>
      </c>
      <c r="K23" s="126">
        <f t="shared" si="0"/>
        <v>0</v>
      </c>
      <c r="L23" s="126">
        <f t="shared" si="0"/>
        <v>0</v>
      </c>
      <c r="M23" s="126">
        <f t="shared" ref="M23" si="1">IF(AND(COUNTA(M4:M22)&gt;=0,COUNTA(M4:M22)&lt;19),0+COUNTA(M4:M22),19)</f>
        <v>0</v>
      </c>
      <c r="N23" s="126">
        <f t="shared" ref="N23" si="2">IF(AND(COUNTA(N4:N22)&gt;=0,COUNTA(N4:N22)&lt;19),0+COUNTA(N4:N22),19)</f>
        <v>0</v>
      </c>
      <c r="O23" s="126">
        <f t="shared" ref="O23" si="3">IF(AND(COUNTA(O4:O22)&gt;=0,COUNTA(O4:O22)&lt;19),0+COUNTA(O4:O22),19)</f>
        <v>0</v>
      </c>
      <c r="P23" s="126">
        <f t="shared" ref="P23" si="4">IF(AND(COUNTA(P4:P22)&gt;=0,COUNTA(P4:P22)&lt;19),0+COUNTA(P4:P22),19)</f>
        <v>0</v>
      </c>
      <c r="Q23" s="126">
        <f t="shared" ref="Q23" si="5">IF(AND(COUNTA(Q4:Q22)&gt;=0,COUNTA(Q4:Q22)&lt;19),0+COUNTA(Q4:Q22),19)</f>
        <v>0</v>
      </c>
      <c r="R23" s="126">
        <f t="shared" ref="R23" si="6">IF(AND(COUNTA(R4:R22)&gt;=0,COUNTA(R4:R22)&lt;19),0+COUNTA(R4:R22),19)</f>
        <v>0</v>
      </c>
    </row>
    <row r="24" spans="1:18" ht="15.75" thickBot="1" x14ac:dyDescent="0.3"/>
    <row r="25" spans="1:18" ht="15.75" thickBot="1" x14ac:dyDescent="0.3">
      <c r="A25" s="584" t="s">
        <v>274</v>
      </c>
      <c r="B25" s="585"/>
      <c r="C25" s="586"/>
      <c r="D25" s="188"/>
    </row>
    <row r="26" spans="1:18" ht="37.5" customHeight="1" thickBot="1" x14ac:dyDescent="0.3">
      <c r="A26" s="130" t="s">
        <v>275</v>
      </c>
      <c r="B26" s="131" t="s">
        <v>65</v>
      </c>
      <c r="C26" s="131" t="s">
        <v>276</v>
      </c>
      <c r="D26" s="189"/>
    </row>
    <row r="27" spans="1:18" ht="15.75" thickBot="1" x14ac:dyDescent="0.3">
      <c r="A27" s="132" t="s">
        <v>81</v>
      </c>
      <c r="B27" s="133" t="s">
        <v>277</v>
      </c>
      <c r="C27" s="134" t="s">
        <v>278</v>
      </c>
      <c r="D27" s="190"/>
    </row>
    <row r="28" spans="1:18" ht="15.75" thickBot="1" x14ac:dyDescent="0.3">
      <c r="A28" s="132" t="s">
        <v>279</v>
      </c>
      <c r="B28" s="133" t="s">
        <v>280</v>
      </c>
      <c r="C28" s="135" t="s">
        <v>281</v>
      </c>
      <c r="D28" s="191"/>
    </row>
    <row r="29" spans="1:18" ht="15.75" thickBot="1" x14ac:dyDescent="0.3">
      <c r="A29" s="132" t="s">
        <v>85</v>
      </c>
      <c r="B29" s="133" t="s">
        <v>282</v>
      </c>
      <c r="C29" s="136" t="s">
        <v>283</v>
      </c>
      <c r="D29" s="192"/>
    </row>
    <row r="32" spans="1:18" x14ac:dyDescent="0.25">
      <c r="A32" s="187" t="s">
        <v>252</v>
      </c>
    </row>
    <row r="33" spans="1:1" x14ac:dyDescent="0.25">
      <c r="A33" s="187" t="s">
        <v>253</v>
      </c>
    </row>
  </sheetData>
  <mergeCells count="2">
    <mergeCell ref="A2:E2"/>
    <mergeCell ref="A25:C25"/>
  </mergeCells>
  <conditionalFormatting sqref="C23:R23">
    <cfRule type="cellIs" dxfId="2" priority="4" operator="between">
      <formula>12</formula>
      <formula>19</formula>
    </cfRule>
    <cfRule type="cellIs" dxfId="1" priority="5" operator="between">
      <formula>6</formula>
      <formula>11</formula>
    </cfRule>
    <cfRule type="cellIs" dxfId="0" priority="6" operator="between">
      <formula>1</formula>
      <formula>5</formula>
    </cfRule>
  </conditionalFormatting>
  <dataValidations disablePrompts="1" count="1">
    <dataValidation type="list" allowBlank="1" showInputMessage="1" showErrorMessage="1" sqref="C4:R22" xr:uid="{00000000-0002-0000-0900-000000000000}">
      <formula1>$A$32:$A$33</formula1>
    </dataValidation>
  </dataValidations>
  <pageMargins left="0.7" right="0.7" top="0.75" bottom="0.75" header="0.3" footer="0.3"/>
  <pageSetup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
  <sheetViews>
    <sheetView showGridLines="0" workbookViewId="0">
      <selection activeCell="F6" sqref="F6"/>
    </sheetView>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E43"/>
  <sheetViews>
    <sheetView topLeftCell="A19" workbookViewId="0">
      <selection activeCell="B39" sqref="B39"/>
    </sheetView>
  </sheetViews>
  <sheetFormatPr baseColWidth="10" defaultRowHeight="15" x14ac:dyDescent="0.25"/>
  <cols>
    <col min="2" max="2" width="104.42578125" customWidth="1"/>
    <col min="3" max="3" width="22.140625" customWidth="1"/>
  </cols>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86</v>
      </c>
    </row>
    <row r="9" spans="2:5" x14ac:dyDescent="0.25">
      <c r="B9" t="s">
        <v>40</v>
      </c>
    </row>
    <row r="10" spans="2:5" x14ac:dyDescent="0.25">
      <c r="B10" t="s">
        <v>41</v>
      </c>
    </row>
    <row r="12" spans="2:5" x14ac:dyDescent="0.25">
      <c r="B12" t="s">
        <v>358</v>
      </c>
    </row>
    <row r="13" spans="2:5" x14ac:dyDescent="0.25">
      <c r="B13" t="s">
        <v>129</v>
      </c>
    </row>
    <row r="14" spans="2:5" x14ac:dyDescent="0.25">
      <c r="B14" t="s">
        <v>123</v>
      </c>
    </row>
    <row r="15" spans="2:5" x14ac:dyDescent="0.25">
      <c r="B15" t="s">
        <v>126</v>
      </c>
    </row>
    <row r="16" spans="2:5" x14ac:dyDescent="0.25">
      <c r="B16" t="s">
        <v>124</v>
      </c>
    </row>
    <row r="17" spans="1:5" x14ac:dyDescent="0.25">
      <c r="B17" t="s">
        <v>125</v>
      </c>
    </row>
    <row r="18" spans="1:5" x14ac:dyDescent="0.25">
      <c r="B18" t="s">
        <v>127</v>
      </c>
    </row>
    <row r="19" spans="1:5" x14ac:dyDescent="0.25">
      <c r="B19" t="s">
        <v>128</v>
      </c>
    </row>
    <row r="20" spans="1:5" x14ac:dyDescent="0.25">
      <c r="B20" t="s">
        <v>357</v>
      </c>
    </row>
    <row r="22" spans="1:5" ht="26.25" thickBot="1" x14ac:dyDescent="0.3">
      <c r="B22" s="121" t="s">
        <v>227</v>
      </c>
      <c r="C22" s="121" t="s">
        <v>284</v>
      </c>
      <c r="D22" s="143" t="s">
        <v>220</v>
      </c>
      <c r="E22" s="121" t="s">
        <v>218</v>
      </c>
    </row>
    <row r="23" spans="1:5" ht="26.25" thickBot="1" x14ac:dyDescent="0.3">
      <c r="A23" s="121" t="s">
        <v>218</v>
      </c>
      <c r="B23" s="121" t="s">
        <v>228</v>
      </c>
      <c r="C23" s="121" t="s">
        <v>285</v>
      </c>
      <c r="D23" s="143" t="s">
        <v>305</v>
      </c>
      <c r="E23" s="121" t="s">
        <v>230</v>
      </c>
    </row>
    <row r="24" spans="1:5" ht="26.25" thickBot="1" x14ac:dyDescent="0.3">
      <c r="A24" s="121" t="s">
        <v>218</v>
      </c>
      <c r="B24" s="121" t="s">
        <v>219</v>
      </c>
      <c r="C24" s="121" t="s">
        <v>286</v>
      </c>
      <c r="E24" s="121" t="s">
        <v>232</v>
      </c>
    </row>
    <row r="25" spans="1:5" ht="26.25" thickBot="1" x14ac:dyDescent="0.3">
      <c r="A25" s="121" t="s">
        <v>218</v>
      </c>
      <c r="B25" s="121" t="s">
        <v>229</v>
      </c>
      <c r="C25" s="121" t="s">
        <v>287</v>
      </c>
      <c r="E25" s="121" t="s">
        <v>234</v>
      </c>
    </row>
    <row r="26" spans="1:5" ht="26.25" thickBot="1" x14ac:dyDescent="0.3">
      <c r="A26" s="121" t="s">
        <v>218</v>
      </c>
      <c r="B26" s="121" t="s">
        <v>221</v>
      </c>
      <c r="C26" s="121" t="s">
        <v>224</v>
      </c>
    </row>
    <row r="27" spans="1:5" ht="15.75" thickBot="1" x14ac:dyDescent="0.3">
      <c r="A27" s="121" t="s">
        <v>230</v>
      </c>
      <c r="B27" s="121" t="s">
        <v>231</v>
      </c>
      <c r="C27" s="121" t="s">
        <v>288</v>
      </c>
    </row>
    <row r="28" spans="1:5" ht="15.75" thickBot="1" x14ac:dyDescent="0.3">
      <c r="A28" s="121" t="s">
        <v>232</v>
      </c>
      <c r="B28" s="121" t="s">
        <v>233</v>
      </c>
      <c r="C28" s="121" t="s">
        <v>289</v>
      </c>
    </row>
    <row r="29" spans="1:5" ht="15.75" thickBot="1" x14ac:dyDescent="0.3">
      <c r="A29" s="121" t="s">
        <v>234</v>
      </c>
      <c r="B29" s="121" t="s">
        <v>235</v>
      </c>
      <c r="C29" s="121" t="s">
        <v>290</v>
      </c>
    </row>
    <row r="30" spans="1:5" ht="15.75" thickBot="1" x14ac:dyDescent="0.3">
      <c r="A30" s="121" t="s">
        <v>232</v>
      </c>
      <c r="B30" s="121" t="s">
        <v>236</v>
      </c>
      <c r="C30" s="121" t="s">
        <v>291</v>
      </c>
    </row>
    <row r="31" spans="1:5" ht="15.75" thickBot="1" x14ac:dyDescent="0.3">
      <c r="A31" s="121" t="s">
        <v>232</v>
      </c>
      <c r="B31" s="121" t="s">
        <v>237</v>
      </c>
      <c r="C31" s="121" t="s">
        <v>292</v>
      </c>
    </row>
    <row r="32" spans="1:5" ht="15.75" thickBot="1" x14ac:dyDescent="0.3">
      <c r="A32" s="121" t="s">
        <v>232</v>
      </c>
      <c r="B32" s="121" t="s">
        <v>238</v>
      </c>
      <c r="C32" s="121" t="s">
        <v>293</v>
      </c>
    </row>
    <row r="33" spans="1:3" ht="15.75" thickBot="1" x14ac:dyDescent="0.3">
      <c r="A33" s="121" t="s">
        <v>234</v>
      </c>
      <c r="B33" s="121" t="s">
        <v>239</v>
      </c>
      <c r="C33" s="121" t="s">
        <v>294</v>
      </c>
    </row>
    <row r="34" spans="1:3" ht="15.75" thickBot="1" x14ac:dyDescent="0.3">
      <c r="A34" s="121" t="s">
        <v>234</v>
      </c>
      <c r="B34" s="121" t="s">
        <v>240</v>
      </c>
      <c r="C34" s="121" t="s">
        <v>295</v>
      </c>
    </row>
    <row r="35" spans="1:3" ht="15.75" thickBot="1" x14ac:dyDescent="0.3">
      <c r="A35" s="121" t="s">
        <v>234</v>
      </c>
      <c r="B35" s="121" t="s">
        <v>241</v>
      </c>
      <c r="C35" s="121" t="s">
        <v>296</v>
      </c>
    </row>
    <row r="36" spans="1:3" ht="15.75" thickBot="1" x14ac:dyDescent="0.3">
      <c r="A36" s="121" t="s">
        <v>234</v>
      </c>
      <c r="B36" s="121" t="s">
        <v>242</v>
      </c>
      <c r="C36" s="121" t="s">
        <v>297</v>
      </c>
    </row>
    <row r="37" spans="1:3" ht="15.75" thickBot="1" x14ac:dyDescent="0.3">
      <c r="A37" s="121" t="s">
        <v>234</v>
      </c>
      <c r="B37" s="121" t="s">
        <v>243</v>
      </c>
      <c r="C37" s="121" t="s">
        <v>298</v>
      </c>
    </row>
    <row r="38" spans="1:3" ht="15.75" thickBot="1" x14ac:dyDescent="0.3">
      <c r="A38" s="121" t="s">
        <v>234</v>
      </c>
      <c r="B38" s="121" t="s">
        <v>244</v>
      </c>
      <c r="C38" s="121" t="s">
        <v>299</v>
      </c>
    </row>
    <row r="39" spans="1:3" ht="15.75" thickBot="1" x14ac:dyDescent="0.3">
      <c r="A39" s="121" t="s">
        <v>232</v>
      </c>
      <c r="B39" s="121" t="s">
        <v>375</v>
      </c>
      <c r="C39" s="121" t="s">
        <v>300</v>
      </c>
    </row>
    <row r="40" spans="1:3" ht="15.75" thickBot="1" x14ac:dyDescent="0.3">
      <c r="A40" s="121" t="s">
        <v>232</v>
      </c>
      <c r="B40" s="121" t="s">
        <v>245</v>
      </c>
      <c r="C40" s="121" t="s">
        <v>301</v>
      </c>
    </row>
    <row r="41" spans="1:3" ht="15.75" thickBot="1" x14ac:dyDescent="0.3">
      <c r="A41" s="121" t="s">
        <v>232</v>
      </c>
      <c r="B41" s="121" t="s">
        <v>246</v>
      </c>
      <c r="C41" s="121" t="s">
        <v>302</v>
      </c>
    </row>
    <row r="42" spans="1:3" ht="15.75" thickBot="1" x14ac:dyDescent="0.3">
      <c r="A42" s="121" t="s">
        <v>232</v>
      </c>
      <c r="B42" s="121" t="s">
        <v>247</v>
      </c>
      <c r="C42" s="121" t="s">
        <v>303</v>
      </c>
    </row>
    <row r="43" spans="1:3" ht="15.75" thickBot="1" x14ac:dyDescent="0.3">
      <c r="A43" s="121" t="s">
        <v>232</v>
      </c>
      <c r="B43" s="121" t="s">
        <v>248</v>
      </c>
      <c r="C43" s="121" t="s">
        <v>304</v>
      </c>
    </row>
  </sheetData>
  <sortState xmlns:xlrd2="http://schemas.microsoft.com/office/spreadsheetml/2017/richdata2" ref="B2:B5">
    <sortCondition ref="B2:B5"/>
  </sortState>
  <dataValidations count="1">
    <dataValidation type="list" allowBlank="1" showInputMessage="1" showErrorMessage="1" sqref="B25" xr:uid="{00000000-0002-0000-0B00-000000000000}">
      <formula1>$A$22:$A$43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3:A21"/>
  <sheetViews>
    <sheetView topLeftCell="A4" workbookViewId="0">
      <selection activeCell="A10" sqref="A10"/>
    </sheetView>
  </sheetViews>
  <sheetFormatPr baseColWidth="10" defaultRowHeight="12.75" x14ac:dyDescent="0.2"/>
  <cols>
    <col min="1" max="1" width="32.85546875" style="1" customWidth="1"/>
    <col min="2" max="16384" width="11.42578125" style="1"/>
  </cols>
  <sheetData>
    <row r="3" spans="1:1" x14ac:dyDescent="0.2">
      <c r="A3" s="2" t="s">
        <v>14</v>
      </c>
    </row>
    <row r="4" spans="1:1" x14ac:dyDescent="0.2">
      <c r="A4" s="2" t="s">
        <v>15</v>
      </c>
    </row>
    <row r="5" spans="1:1" x14ac:dyDescent="0.2">
      <c r="A5" s="2" t="s">
        <v>16</v>
      </c>
    </row>
    <row r="6" spans="1:1" x14ac:dyDescent="0.2">
      <c r="A6" s="2" t="s">
        <v>10</v>
      </c>
    </row>
    <row r="7" spans="1:1" x14ac:dyDescent="0.2">
      <c r="A7" s="2" t="s">
        <v>9</v>
      </c>
    </row>
    <row r="8" spans="1:1" x14ac:dyDescent="0.2">
      <c r="A8" s="2" t="s">
        <v>19</v>
      </c>
    </row>
    <row r="9" spans="1:1" x14ac:dyDescent="0.2">
      <c r="A9" s="2" t="s">
        <v>20</v>
      </c>
    </row>
    <row r="10" spans="1:1" x14ac:dyDescent="0.2">
      <c r="A10" s="2" t="s">
        <v>22</v>
      </c>
    </row>
    <row r="11" spans="1:1" x14ac:dyDescent="0.2">
      <c r="A11" s="2" t="s">
        <v>23</v>
      </c>
    </row>
    <row r="12" spans="1:1" x14ac:dyDescent="0.2">
      <c r="A12" s="2" t="s">
        <v>25</v>
      </c>
    </row>
    <row r="13" spans="1:1" x14ac:dyDescent="0.2">
      <c r="A13" s="2" t="s">
        <v>26</v>
      </c>
    </row>
    <row r="14" spans="1:1" x14ac:dyDescent="0.2">
      <c r="A14" s="2" t="s">
        <v>27</v>
      </c>
    </row>
    <row r="16" spans="1:1" x14ac:dyDescent="0.2">
      <c r="A16" s="2" t="s">
        <v>30</v>
      </c>
    </row>
    <row r="17" spans="1:1" x14ac:dyDescent="0.2">
      <c r="A17" s="2" t="s">
        <v>31</v>
      </c>
    </row>
    <row r="18" spans="1:1" x14ac:dyDescent="0.2">
      <c r="A18" s="2" t="s">
        <v>32</v>
      </c>
    </row>
    <row r="20" spans="1:1" x14ac:dyDescent="0.2">
      <c r="A20" s="2" t="s">
        <v>40</v>
      </c>
    </row>
    <row r="21" spans="1:1" x14ac:dyDescent="0.2">
      <c r="A21" s="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3:H54"/>
  <sheetViews>
    <sheetView view="pageBreakPreview" topLeftCell="A37" zoomScale="86" zoomScaleNormal="110" zoomScaleSheetLayoutView="86" workbookViewId="0">
      <selection activeCell="G65" sqref="G65"/>
    </sheetView>
  </sheetViews>
  <sheetFormatPr baseColWidth="10" defaultRowHeight="15" x14ac:dyDescent="0.2"/>
  <cols>
    <col min="1" max="1" width="2.85546875" style="149" customWidth="1"/>
    <col min="2" max="6" width="38.140625" style="149" customWidth="1"/>
    <col min="7" max="7" width="8.140625" style="149" customWidth="1"/>
    <col min="8" max="8" width="5.85546875" style="149" customWidth="1"/>
    <col min="9" max="16384" width="11.42578125" style="149"/>
  </cols>
  <sheetData>
    <row r="3" spans="2:8" ht="15.75" thickBot="1" x14ac:dyDescent="0.25"/>
    <row r="4" spans="2:8" ht="20.25" x14ac:dyDescent="0.2">
      <c r="B4" s="235" t="s">
        <v>330</v>
      </c>
      <c r="C4" s="236"/>
      <c r="D4" s="236"/>
      <c r="E4" s="236"/>
      <c r="F4" s="236"/>
      <c r="G4" s="236"/>
      <c r="H4" s="237"/>
    </row>
    <row r="5" spans="2:8" x14ac:dyDescent="0.2">
      <c r="B5" s="150"/>
      <c r="C5" s="151"/>
      <c r="D5" s="151"/>
      <c r="E5" s="151"/>
      <c r="F5" s="151"/>
      <c r="G5" s="151"/>
      <c r="H5" s="152"/>
    </row>
    <row r="6" spans="2:8" ht="63" customHeight="1" x14ac:dyDescent="0.2">
      <c r="B6" s="238" t="s">
        <v>345</v>
      </c>
      <c r="C6" s="239"/>
      <c r="D6" s="239"/>
      <c r="E6" s="239"/>
      <c r="F6" s="239"/>
      <c r="G6" s="239"/>
      <c r="H6" s="240"/>
    </row>
    <row r="7" spans="2:8" ht="97.5" customHeight="1" x14ac:dyDescent="0.2">
      <c r="B7" s="241"/>
      <c r="C7" s="242"/>
      <c r="D7" s="242"/>
      <c r="E7" s="242"/>
      <c r="F7" s="242"/>
      <c r="G7" s="242"/>
      <c r="H7" s="243"/>
    </row>
    <row r="8" spans="2:8" x14ac:dyDescent="0.2">
      <c r="B8" s="244" t="s">
        <v>162</v>
      </c>
      <c r="C8" s="245"/>
      <c r="D8" s="245"/>
      <c r="E8" s="245"/>
      <c r="F8" s="245"/>
      <c r="G8" s="245"/>
      <c r="H8" s="246"/>
    </row>
    <row r="9" spans="2:8" ht="126.75" customHeight="1" x14ac:dyDescent="0.2">
      <c r="B9" s="247" t="s">
        <v>346</v>
      </c>
      <c r="C9" s="248"/>
      <c r="D9" s="248"/>
      <c r="E9" s="248"/>
      <c r="F9" s="248"/>
      <c r="G9" s="248"/>
      <c r="H9" s="249"/>
    </row>
    <row r="10" spans="2:8" x14ac:dyDescent="0.2">
      <c r="B10" s="153"/>
      <c r="C10" s="154"/>
      <c r="D10" s="154"/>
      <c r="E10" s="154"/>
      <c r="F10" s="154"/>
      <c r="G10" s="154"/>
      <c r="H10" s="155"/>
    </row>
    <row r="11" spans="2:8" ht="16.5" customHeight="1" x14ac:dyDescent="0.2">
      <c r="B11" s="250" t="s">
        <v>347</v>
      </c>
      <c r="C11" s="251"/>
      <c r="D11" s="251"/>
      <c r="E11" s="251"/>
      <c r="F11" s="251"/>
      <c r="G11" s="251"/>
      <c r="H11" s="252"/>
    </row>
    <row r="12" spans="2:8" ht="44.25" customHeight="1" x14ac:dyDescent="0.2">
      <c r="B12" s="250"/>
      <c r="C12" s="251"/>
      <c r="D12" s="251"/>
      <c r="E12" s="251"/>
      <c r="F12" s="251"/>
      <c r="G12" s="251"/>
      <c r="H12" s="252"/>
    </row>
    <row r="13" spans="2:8" ht="15.75" thickBot="1" x14ac:dyDescent="0.25">
      <c r="B13" s="156"/>
      <c r="C13" s="157"/>
      <c r="D13" s="158"/>
      <c r="E13" s="158"/>
      <c r="F13" s="158"/>
      <c r="G13" s="159"/>
      <c r="H13" s="160"/>
    </row>
    <row r="14" spans="2:8" ht="15.75" thickTop="1" x14ac:dyDescent="0.2">
      <c r="B14" s="156"/>
      <c r="C14" s="231" t="s">
        <v>163</v>
      </c>
      <c r="D14" s="232"/>
      <c r="E14" s="233" t="s">
        <v>201</v>
      </c>
      <c r="F14" s="234"/>
      <c r="G14" s="157"/>
      <c r="H14" s="160"/>
    </row>
    <row r="15" spans="2:8" ht="36.75" customHeight="1" x14ac:dyDescent="0.2">
      <c r="B15" s="156"/>
      <c r="C15" s="253" t="s">
        <v>194</v>
      </c>
      <c r="D15" s="254"/>
      <c r="E15" s="255" t="s">
        <v>199</v>
      </c>
      <c r="F15" s="256"/>
      <c r="G15" s="157"/>
      <c r="H15" s="160"/>
    </row>
    <row r="16" spans="2:8" ht="17.25" customHeight="1" x14ac:dyDescent="0.2">
      <c r="B16" s="156"/>
      <c r="C16" s="253" t="s">
        <v>195</v>
      </c>
      <c r="D16" s="254"/>
      <c r="E16" s="255" t="s">
        <v>197</v>
      </c>
      <c r="F16" s="256"/>
      <c r="G16" s="157"/>
      <c r="H16" s="160"/>
    </row>
    <row r="17" spans="2:8" ht="19.5" customHeight="1" x14ac:dyDescent="0.2">
      <c r="B17" s="156"/>
      <c r="C17" s="253" t="s">
        <v>196</v>
      </c>
      <c r="D17" s="254"/>
      <c r="E17" s="255" t="s">
        <v>198</v>
      </c>
      <c r="F17" s="256"/>
      <c r="G17" s="157"/>
      <c r="H17" s="160"/>
    </row>
    <row r="18" spans="2:8" ht="19.5" customHeight="1" x14ac:dyDescent="0.2">
      <c r="B18" s="156"/>
      <c r="C18" s="253" t="s">
        <v>331</v>
      </c>
      <c r="D18" s="254"/>
      <c r="E18" s="257" t="s">
        <v>332</v>
      </c>
      <c r="F18" s="258"/>
      <c r="G18" s="157"/>
      <c r="H18" s="160"/>
    </row>
    <row r="19" spans="2:8" ht="98.25" customHeight="1" x14ac:dyDescent="0.2">
      <c r="B19" s="156"/>
      <c r="C19" s="259" t="s">
        <v>165</v>
      </c>
      <c r="D19" s="260"/>
      <c r="E19" s="255" t="s">
        <v>166</v>
      </c>
      <c r="F19" s="256"/>
      <c r="G19" s="157"/>
      <c r="H19" s="160"/>
    </row>
    <row r="20" spans="2:8" ht="51.75" customHeight="1" x14ac:dyDescent="0.2">
      <c r="B20" s="156"/>
      <c r="C20" s="261" t="s">
        <v>194</v>
      </c>
      <c r="D20" s="262"/>
      <c r="E20" s="255" t="s">
        <v>333</v>
      </c>
      <c r="F20" s="256"/>
      <c r="G20" s="157"/>
      <c r="H20" s="160"/>
    </row>
    <row r="21" spans="2:8" ht="58.5" customHeight="1" x14ac:dyDescent="0.2">
      <c r="B21" s="156"/>
      <c r="C21" s="261" t="s">
        <v>212</v>
      </c>
      <c r="D21" s="262"/>
      <c r="E21" s="255" t="s">
        <v>334</v>
      </c>
      <c r="F21" s="256"/>
      <c r="G21" s="157"/>
      <c r="H21" s="160"/>
    </row>
    <row r="22" spans="2:8" ht="34.5" customHeight="1" x14ac:dyDescent="0.2">
      <c r="B22" s="156"/>
      <c r="C22" s="263" t="s">
        <v>2</v>
      </c>
      <c r="D22" s="264"/>
      <c r="E22" s="265" t="s">
        <v>208</v>
      </c>
      <c r="F22" s="266"/>
      <c r="G22" s="157"/>
      <c r="H22" s="160"/>
    </row>
    <row r="23" spans="2:8" ht="48.75" customHeight="1" x14ac:dyDescent="0.2">
      <c r="B23" s="156"/>
      <c r="C23" s="263" t="s">
        <v>3</v>
      </c>
      <c r="D23" s="264"/>
      <c r="E23" s="265" t="s">
        <v>209</v>
      </c>
      <c r="F23" s="266"/>
      <c r="G23" s="157"/>
      <c r="H23" s="160"/>
    </row>
    <row r="24" spans="2:8" ht="42" customHeight="1" x14ac:dyDescent="0.2">
      <c r="B24" s="156"/>
      <c r="C24" s="263" t="s">
        <v>42</v>
      </c>
      <c r="D24" s="264"/>
      <c r="E24" s="265" t="s">
        <v>210</v>
      </c>
      <c r="F24" s="266"/>
      <c r="G24" s="157"/>
      <c r="H24" s="160"/>
    </row>
    <row r="25" spans="2:8" ht="61.5" customHeight="1" x14ac:dyDescent="0.2">
      <c r="B25" s="156"/>
      <c r="C25" s="263" t="s">
        <v>335</v>
      </c>
      <c r="D25" s="264"/>
      <c r="E25" s="265" t="s">
        <v>336</v>
      </c>
      <c r="F25" s="266"/>
      <c r="G25" s="157"/>
      <c r="H25" s="160"/>
    </row>
    <row r="26" spans="2:8" ht="98.25" customHeight="1" x14ac:dyDescent="0.2">
      <c r="B26" s="156"/>
      <c r="C26" s="267" t="s">
        <v>1</v>
      </c>
      <c r="D26" s="268"/>
      <c r="E26" s="265" t="s">
        <v>348</v>
      </c>
      <c r="F26" s="266"/>
      <c r="G26" s="157"/>
      <c r="H26" s="160"/>
    </row>
    <row r="27" spans="2:8" ht="96" customHeight="1" x14ac:dyDescent="0.2">
      <c r="B27" s="156"/>
      <c r="C27" s="263" t="s">
        <v>50</v>
      </c>
      <c r="D27" s="264"/>
      <c r="E27" s="265" t="s">
        <v>169</v>
      </c>
      <c r="F27" s="266"/>
      <c r="G27" s="157"/>
      <c r="H27" s="160"/>
    </row>
    <row r="28" spans="2:8" ht="81" customHeight="1" x14ac:dyDescent="0.2">
      <c r="B28" s="156"/>
      <c r="C28" s="263" t="s">
        <v>168</v>
      </c>
      <c r="D28" s="264"/>
      <c r="E28" s="265" t="s">
        <v>170</v>
      </c>
      <c r="F28" s="266"/>
      <c r="G28" s="157"/>
      <c r="H28" s="160"/>
    </row>
    <row r="29" spans="2:8" ht="75" customHeight="1" x14ac:dyDescent="0.2">
      <c r="B29" s="156"/>
      <c r="C29" s="267" t="s">
        <v>171</v>
      </c>
      <c r="D29" s="268"/>
      <c r="E29" s="265" t="s">
        <v>172</v>
      </c>
      <c r="F29" s="266"/>
      <c r="G29" s="157"/>
      <c r="H29" s="160"/>
    </row>
    <row r="30" spans="2:8" ht="53.25" customHeight="1" x14ac:dyDescent="0.2">
      <c r="B30" s="156"/>
      <c r="C30" s="267" t="s">
        <v>48</v>
      </c>
      <c r="D30" s="268"/>
      <c r="E30" s="265" t="s">
        <v>173</v>
      </c>
      <c r="F30" s="266"/>
      <c r="G30" s="157"/>
      <c r="H30" s="160"/>
    </row>
    <row r="31" spans="2:8" ht="63" customHeight="1" x14ac:dyDescent="0.2">
      <c r="B31" s="156"/>
      <c r="C31" s="267" t="s">
        <v>161</v>
      </c>
      <c r="D31" s="268"/>
      <c r="E31" s="265" t="s">
        <v>349</v>
      </c>
      <c r="F31" s="266"/>
      <c r="G31" s="157"/>
      <c r="H31" s="160"/>
    </row>
    <row r="32" spans="2:8" ht="23.25" customHeight="1" x14ac:dyDescent="0.2">
      <c r="B32" s="156"/>
      <c r="C32" s="267" t="s">
        <v>12</v>
      </c>
      <c r="D32" s="268"/>
      <c r="E32" s="265" t="s">
        <v>175</v>
      </c>
      <c r="F32" s="266"/>
      <c r="G32" s="157"/>
      <c r="H32" s="160"/>
    </row>
    <row r="33" spans="2:8" ht="30.75" customHeight="1" x14ac:dyDescent="0.2">
      <c r="B33" s="156"/>
      <c r="C33" s="267" t="s">
        <v>337</v>
      </c>
      <c r="D33" s="268"/>
      <c r="E33" s="265" t="s">
        <v>176</v>
      </c>
      <c r="F33" s="266"/>
      <c r="G33" s="157"/>
      <c r="H33" s="160"/>
    </row>
    <row r="34" spans="2:8" ht="35.25" customHeight="1" x14ac:dyDescent="0.2">
      <c r="B34" s="156"/>
      <c r="C34" s="267" t="s">
        <v>338</v>
      </c>
      <c r="D34" s="268"/>
      <c r="E34" s="265" t="s">
        <v>177</v>
      </c>
      <c r="F34" s="266"/>
      <c r="G34" s="157"/>
      <c r="H34" s="160"/>
    </row>
    <row r="35" spans="2:8" ht="33" customHeight="1" x14ac:dyDescent="0.2">
      <c r="B35" s="156"/>
      <c r="C35" s="267" t="s">
        <v>338</v>
      </c>
      <c r="D35" s="268"/>
      <c r="E35" s="265" t="s">
        <v>177</v>
      </c>
      <c r="F35" s="266"/>
      <c r="G35" s="157"/>
      <c r="H35" s="160"/>
    </row>
    <row r="36" spans="2:8" ht="30" customHeight="1" x14ac:dyDescent="0.2">
      <c r="B36" s="156"/>
      <c r="C36" s="267" t="s">
        <v>339</v>
      </c>
      <c r="D36" s="268"/>
      <c r="E36" s="265" t="s">
        <v>178</v>
      </c>
      <c r="F36" s="266"/>
      <c r="G36" s="157"/>
      <c r="H36" s="160"/>
    </row>
    <row r="37" spans="2:8" ht="35.25" customHeight="1" x14ac:dyDescent="0.2">
      <c r="B37" s="156"/>
      <c r="C37" s="267" t="s">
        <v>340</v>
      </c>
      <c r="D37" s="268"/>
      <c r="E37" s="265" t="s">
        <v>183</v>
      </c>
      <c r="F37" s="266"/>
      <c r="G37" s="157"/>
      <c r="H37" s="160"/>
    </row>
    <row r="38" spans="2:8" ht="31.5" customHeight="1" x14ac:dyDescent="0.2">
      <c r="B38" s="156"/>
      <c r="C38" s="267" t="s">
        <v>341</v>
      </c>
      <c r="D38" s="268"/>
      <c r="E38" s="265" t="s">
        <v>185</v>
      </c>
      <c r="F38" s="266"/>
      <c r="G38" s="157"/>
      <c r="H38" s="160"/>
    </row>
    <row r="39" spans="2:8" ht="35.25" customHeight="1" x14ac:dyDescent="0.2">
      <c r="B39" s="156"/>
      <c r="C39" s="267" t="s">
        <v>342</v>
      </c>
      <c r="D39" s="268"/>
      <c r="E39" s="265" t="s">
        <v>187</v>
      </c>
      <c r="F39" s="266"/>
      <c r="G39" s="157"/>
      <c r="H39" s="160"/>
    </row>
    <row r="40" spans="2:8" ht="59.25" customHeight="1" x14ac:dyDescent="0.2">
      <c r="B40" s="156"/>
      <c r="C40" s="267" t="s">
        <v>188</v>
      </c>
      <c r="D40" s="268"/>
      <c r="E40" s="265" t="s">
        <v>350</v>
      </c>
      <c r="F40" s="266"/>
      <c r="G40" s="157"/>
      <c r="H40" s="160"/>
    </row>
    <row r="41" spans="2:8" ht="57" customHeight="1" x14ac:dyDescent="0.2">
      <c r="B41" s="156"/>
      <c r="C41" s="267" t="s">
        <v>29</v>
      </c>
      <c r="D41" s="268"/>
      <c r="E41" s="265" t="s">
        <v>190</v>
      </c>
      <c r="F41" s="266"/>
      <c r="G41" s="157"/>
      <c r="H41" s="160"/>
    </row>
    <row r="42" spans="2:8" ht="111" customHeight="1" x14ac:dyDescent="0.2">
      <c r="B42" s="156"/>
      <c r="C42" s="267" t="s">
        <v>343</v>
      </c>
      <c r="D42" s="268"/>
      <c r="E42" s="265" t="s">
        <v>191</v>
      </c>
      <c r="F42" s="266"/>
      <c r="G42" s="157"/>
      <c r="H42" s="160"/>
    </row>
    <row r="43" spans="2:8" ht="69" customHeight="1" x14ac:dyDescent="0.2">
      <c r="B43" s="156"/>
      <c r="C43" s="267" t="s">
        <v>39</v>
      </c>
      <c r="D43" s="268"/>
      <c r="E43" s="265" t="s">
        <v>193</v>
      </c>
      <c r="F43" s="266"/>
      <c r="G43" s="157"/>
      <c r="H43" s="160"/>
    </row>
    <row r="44" spans="2:8" ht="6.75" customHeight="1" thickBot="1" x14ac:dyDescent="0.25">
      <c r="B44" s="156"/>
      <c r="C44" s="269"/>
      <c r="D44" s="270"/>
      <c r="E44" s="271"/>
      <c r="F44" s="272"/>
      <c r="G44" s="157"/>
      <c r="H44" s="160"/>
    </row>
    <row r="45" spans="2:8" ht="15.75" thickTop="1" x14ac:dyDescent="0.2">
      <c r="B45" s="156"/>
      <c r="C45" s="161"/>
      <c r="D45" s="161"/>
      <c r="E45" s="162"/>
      <c r="F45" s="162"/>
      <c r="G45" s="157"/>
      <c r="H45" s="160"/>
    </row>
    <row r="46" spans="2:8" ht="35.25" customHeight="1" x14ac:dyDescent="0.2">
      <c r="B46" s="274" t="s">
        <v>351</v>
      </c>
      <c r="C46" s="275"/>
      <c r="D46" s="275"/>
      <c r="E46" s="275"/>
      <c r="F46" s="275"/>
      <c r="G46" s="275"/>
      <c r="H46" s="276"/>
    </row>
    <row r="47" spans="2:8" ht="32.25" customHeight="1" x14ac:dyDescent="0.2">
      <c r="B47" s="274" t="s">
        <v>352</v>
      </c>
      <c r="C47" s="275"/>
      <c r="D47" s="275"/>
      <c r="E47" s="275"/>
      <c r="F47" s="275"/>
      <c r="G47" s="275"/>
      <c r="H47" s="276"/>
    </row>
    <row r="48" spans="2:8" ht="21" customHeight="1" x14ac:dyDescent="0.2">
      <c r="B48" s="274" t="s">
        <v>353</v>
      </c>
      <c r="C48" s="275"/>
      <c r="D48" s="275"/>
      <c r="E48" s="275"/>
      <c r="F48" s="275"/>
      <c r="G48" s="275"/>
      <c r="H48" s="276"/>
    </row>
    <row r="49" spans="2:8" ht="18" customHeight="1" x14ac:dyDescent="0.2">
      <c r="B49" s="274" t="s">
        <v>354</v>
      </c>
      <c r="C49" s="275"/>
      <c r="D49" s="275"/>
      <c r="E49" s="275"/>
      <c r="F49" s="275"/>
      <c r="G49" s="275"/>
      <c r="H49" s="276"/>
    </row>
    <row r="50" spans="2:8" ht="18" customHeight="1" x14ac:dyDescent="0.2">
      <c r="B50" s="274" t="s">
        <v>355</v>
      </c>
      <c r="C50" s="275"/>
      <c r="D50" s="275"/>
      <c r="E50" s="275"/>
      <c r="F50" s="275"/>
      <c r="G50" s="275"/>
      <c r="H50" s="276"/>
    </row>
    <row r="51" spans="2:8" ht="18" customHeight="1" x14ac:dyDescent="0.2">
      <c r="B51" s="274" t="s">
        <v>356</v>
      </c>
      <c r="C51" s="275"/>
      <c r="D51" s="275"/>
      <c r="E51" s="275"/>
      <c r="F51" s="275"/>
      <c r="G51" s="275"/>
      <c r="H51" s="276"/>
    </row>
    <row r="52" spans="2:8" ht="15.75" thickBot="1" x14ac:dyDescent="0.25">
      <c r="B52" s="163"/>
      <c r="C52" s="164"/>
      <c r="D52" s="164"/>
      <c r="E52" s="164"/>
      <c r="F52" s="164"/>
      <c r="G52" s="164"/>
      <c r="H52" s="165"/>
    </row>
    <row r="54" spans="2:8" ht="48.75" customHeight="1" x14ac:dyDescent="0.2">
      <c r="B54" s="273" t="s">
        <v>344</v>
      </c>
      <c r="C54" s="273"/>
      <c r="D54" s="273"/>
      <c r="E54" s="273"/>
      <c r="F54" s="273"/>
      <c r="G54" s="273"/>
      <c r="H54" s="273"/>
    </row>
  </sheetData>
  <mergeCells count="74">
    <mergeCell ref="B54:H54"/>
    <mergeCell ref="B46:H46"/>
    <mergeCell ref="B47:H47"/>
    <mergeCell ref="B48:H48"/>
    <mergeCell ref="B49:H49"/>
    <mergeCell ref="B50:H50"/>
    <mergeCell ref="B51:H51"/>
    <mergeCell ref="C42:D42"/>
    <mergeCell ref="E42:F42"/>
    <mergeCell ref="C43:D43"/>
    <mergeCell ref="E43:F43"/>
    <mergeCell ref="C44:D44"/>
    <mergeCell ref="E44:F44"/>
    <mergeCell ref="C39:D39"/>
    <mergeCell ref="E39:F39"/>
    <mergeCell ref="C40:D40"/>
    <mergeCell ref="E40:F40"/>
    <mergeCell ref="C41:D41"/>
    <mergeCell ref="E41:F41"/>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C21:D21"/>
    <mergeCell ref="E21:F21"/>
    <mergeCell ref="C22:D22"/>
    <mergeCell ref="E22:F22"/>
    <mergeCell ref="C23:D23"/>
    <mergeCell ref="E23:F23"/>
    <mergeCell ref="C18:D18"/>
    <mergeCell ref="E18:F18"/>
    <mergeCell ref="C19:D19"/>
    <mergeCell ref="E19:F19"/>
    <mergeCell ref="C20:D20"/>
    <mergeCell ref="E20:F20"/>
    <mergeCell ref="C15:D15"/>
    <mergeCell ref="E15:F15"/>
    <mergeCell ref="C16:D16"/>
    <mergeCell ref="E16:F16"/>
    <mergeCell ref="C17:D17"/>
    <mergeCell ref="E17:F17"/>
    <mergeCell ref="C14:D14"/>
    <mergeCell ref="E14:F14"/>
    <mergeCell ref="B4:H4"/>
    <mergeCell ref="B6:H7"/>
    <mergeCell ref="B8:H8"/>
    <mergeCell ref="B9:H9"/>
    <mergeCell ref="B11:H12"/>
  </mergeCells>
  <pageMargins left="0.70866141732283472" right="0.53" top="0.39370078740157483" bottom="0.31496062992125984" header="0.31496062992125984" footer="0.31496062992125984"/>
  <pageSetup paperSize="5"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H45"/>
  <sheetViews>
    <sheetView zoomScale="110" zoomScaleNormal="110" workbookViewId="0">
      <selection activeCell="C13" sqref="C13:D13"/>
    </sheetView>
  </sheetViews>
  <sheetFormatPr baseColWidth="10" defaultRowHeight="15" x14ac:dyDescent="0.25"/>
  <cols>
    <col min="1" max="1" width="2.85546875" style="69" customWidth="1"/>
    <col min="2" max="3" width="24.7109375" style="69" customWidth="1"/>
    <col min="4" max="4" width="16" style="69" customWidth="1"/>
    <col min="5" max="5" width="24.7109375" style="69" customWidth="1"/>
    <col min="6" max="6" width="27.7109375" style="69" customWidth="1"/>
    <col min="7" max="8" width="24.7109375" style="69" customWidth="1"/>
    <col min="9" max="16384" width="11.42578125" style="69"/>
  </cols>
  <sheetData>
    <row r="1" spans="2:8" ht="15.75" thickBot="1" x14ac:dyDescent="0.3"/>
    <row r="2" spans="2:8" ht="18" x14ac:dyDescent="0.25">
      <c r="B2" s="294" t="s">
        <v>164</v>
      </c>
      <c r="C2" s="295"/>
      <c r="D2" s="295"/>
      <c r="E2" s="295"/>
      <c r="F2" s="295"/>
      <c r="G2" s="295"/>
      <c r="H2" s="296"/>
    </row>
    <row r="3" spans="2:8" x14ac:dyDescent="0.25">
      <c r="B3" s="70"/>
      <c r="C3" s="71"/>
      <c r="D3" s="71"/>
      <c r="E3" s="71"/>
      <c r="F3" s="71"/>
      <c r="G3" s="71"/>
      <c r="H3" s="72"/>
    </row>
    <row r="4" spans="2:8" ht="63" customHeight="1" x14ac:dyDescent="0.25">
      <c r="B4" s="297" t="s">
        <v>207</v>
      </c>
      <c r="C4" s="298"/>
      <c r="D4" s="298"/>
      <c r="E4" s="298"/>
      <c r="F4" s="298"/>
      <c r="G4" s="298"/>
      <c r="H4" s="299"/>
    </row>
    <row r="5" spans="2:8" ht="63" customHeight="1" x14ac:dyDescent="0.25">
      <c r="B5" s="300"/>
      <c r="C5" s="301"/>
      <c r="D5" s="301"/>
      <c r="E5" s="301"/>
      <c r="F5" s="301"/>
      <c r="G5" s="301"/>
      <c r="H5" s="302"/>
    </row>
    <row r="6" spans="2:8" ht="16.5" x14ac:dyDescent="0.25">
      <c r="B6" s="303" t="s">
        <v>162</v>
      </c>
      <c r="C6" s="304"/>
      <c r="D6" s="304"/>
      <c r="E6" s="304"/>
      <c r="F6" s="304"/>
      <c r="G6" s="304"/>
      <c r="H6" s="305"/>
    </row>
    <row r="7" spans="2:8" ht="95.25" customHeight="1" x14ac:dyDescent="0.25">
      <c r="B7" s="313" t="s">
        <v>167</v>
      </c>
      <c r="C7" s="314"/>
      <c r="D7" s="314"/>
      <c r="E7" s="314"/>
      <c r="F7" s="314"/>
      <c r="G7" s="314"/>
      <c r="H7" s="315"/>
    </row>
    <row r="8" spans="2:8" ht="16.5" x14ac:dyDescent="0.25">
      <c r="B8" s="106"/>
      <c r="C8" s="107"/>
      <c r="D8" s="107"/>
      <c r="E8" s="107"/>
      <c r="F8" s="107"/>
      <c r="G8" s="107"/>
      <c r="H8" s="108"/>
    </row>
    <row r="9" spans="2:8" ht="16.5" customHeight="1" x14ac:dyDescent="0.25">
      <c r="B9" s="306" t="s">
        <v>200</v>
      </c>
      <c r="C9" s="307"/>
      <c r="D9" s="307"/>
      <c r="E9" s="307"/>
      <c r="F9" s="307"/>
      <c r="G9" s="307"/>
      <c r="H9" s="308"/>
    </row>
    <row r="10" spans="2:8" ht="44.25" customHeight="1" x14ac:dyDescent="0.25">
      <c r="B10" s="306"/>
      <c r="C10" s="307"/>
      <c r="D10" s="307"/>
      <c r="E10" s="307"/>
      <c r="F10" s="307"/>
      <c r="G10" s="307"/>
      <c r="H10" s="308"/>
    </row>
    <row r="11" spans="2:8" ht="15.75" thickBot="1" x14ac:dyDescent="0.3">
      <c r="B11" s="95"/>
      <c r="C11" s="98"/>
      <c r="D11" s="103"/>
      <c r="E11" s="104"/>
      <c r="F11" s="104"/>
      <c r="G11" s="105"/>
      <c r="H11" s="99"/>
    </row>
    <row r="12" spans="2:8" ht="15.75" thickTop="1" x14ac:dyDescent="0.25">
      <c r="B12" s="95"/>
      <c r="C12" s="309" t="s">
        <v>163</v>
      </c>
      <c r="D12" s="310"/>
      <c r="E12" s="311" t="s">
        <v>201</v>
      </c>
      <c r="F12" s="312"/>
      <c r="G12" s="98"/>
      <c r="H12" s="99"/>
    </row>
    <row r="13" spans="2:8" ht="35.25" customHeight="1" x14ac:dyDescent="0.25">
      <c r="B13" s="95"/>
      <c r="C13" s="281" t="s">
        <v>194</v>
      </c>
      <c r="D13" s="282"/>
      <c r="E13" s="283" t="s">
        <v>199</v>
      </c>
      <c r="F13" s="284"/>
      <c r="G13" s="98"/>
      <c r="H13" s="99"/>
    </row>
    <row r="14" spans="2:8" ht="17.25" customHeight="1" x14ac:dyDescent="0.25">
      <c r="B14" s="95"/>
      <c r="C14" s="281" t="s">
        <v>195</v>
      </c>
      <c r="D14" s="282"/>
      <c r="E14" s="283" t="s">
        <v>197</v>
      </c>
      <c r="F14" s="284"/>
      <c r="G14" s="98"/>
      <c r="H14" s="99"/>
    </row>
    <row r="15" spans="2:8" ht="19.5" customHeight="1" x14ac:dyDescent="0.25">
      <c r="B15" s="95"/>
      <c r="C15" s="281" t="s">
        <v>196</v>
      </c>
      <c r="D15" s="282"/>
      <c r="E15" s="283" t="s">
        <v>198</v>
      </c>
      <c r="F15" s="284"/>
      <c r="G15" s="98"/>
      <c r="H15" s="99"/>
    </row>
    <row r="16" spans="2:8" ht="69.75" customHeight="1" x14ac:dyDescent="0.25">
      <c r="B16" s="95"/>
      <c r="C16" s="281" t="s">
        <v>165</v>
      </c>
      <c r="D16" s="282"/>
      <c r="E16" s="283" t="s">
        <v>166</v>
      </c>
      <c r="F16" s="284"/>
      <c r="G16" s="98"/>
      <c r="H16" s="99"/>
    </row>
    <row r="17" spans="2:8" ht="34.5" customHeight="1" x14ac:dyDescent="0.25">
      <c r="B17" s="95"/>
      <c r="C17" s="285" t="s">
        <v>2</v>
      </c>
      <c r="D17" s="286"/>
      <c r="E17" s="277" t="s">
        <v>208</v>
      </c>
      <c r="F17" s="278"/>
      <c r="G17" s="98"/>
      <c r="H17" s="99"/>
    </row>
    <row r="18" spans="2:8" ht="27.75" customHeight="1" x14ac:dyDescent="0.25">
      <c r="B18" s="95"/>
      <c r="C18" s="285" t="s">
        <v>3</v>
      </c>
      <c r="D18" s="286"/>
      <c r="E18" s="277" t="s">
        <v>209</v>
      </c>
      <c r="F18" s="278"/>
      <c r="G18" s="98"/>
      <c r="H18" s="99"/>
    </row>
    <row r="19" spans="2:8" ht="28.5" customHeight="1" x14ac:dyDescent="0.25">
      <c r="B19" s="95"/>
      <c r="C19" s="285" t="s">
        <v>42</v>
      </c>
      <c r="D19" s="286"/>
      <c r="E19" s="277" t="s">
        <v>210</v>
      </c>
      <c r="F19" s="278"/>
      <c r="G19" s="98"/>
      <c r="H19" s="99"/>
    </row>
    <row r="20" spans="2:8" ht="72.75" customHeight="1" x14ac:dyDescent="0.25">
      <c r="B20" s="95"/>
      <c r="C20" s="285" t="s">
        <v>1</v>
      </c>
      <c r="D20" s="286"/>
      <c r="E20" s="277" t="s">
        <v>211</v>
      </c>
      <c r="F20" s="278"/>
      <c r="G20" s="98"/>
      <c r="H20" s="99"/>
    </row>
    <row r="21" spans="2:8" ht="64.5" customHeight="1" x14ac:dyDescent="0.25">
      <c r="B21" s="95"/>
      <c r="C21" s="285" t="s">
        <v>50</v>
      </c>
      <c r="D21" s="286"/>
      <c r="E21" s="277" t="s">
        <v>169</v>
      </c>
      <c r="F21" s="278"/>
      <c r="G21" s="98"/>
      <c r="H21" s="99"/>
    </row>
    <row r="22" spans="2:8" ht="71.25" customHeight="1" x14ac:dyDescent="0.25">
      <c r="B22" s="95"/>
      <c r="C22" s="285" t="s">
        <v>168</v>
      </c>
      <c r="D22" s="286"/>
      <c r="E22" s="277" t="s">
        <v>170</v>
      </c>
      <c r="F22" s="278"/>
      <c r="G22" s="98"/>
      <c r="H22" s="99"/>
    </row>
    <row r="23" spans="2:8" ht="55.5" customHeight="1" x14ac:dyDescent="0.25">
      <c r="B23" s="95"/>
      <c r="C23" s="279" t="s">
        <v>171</v>
      </c>
      <c r="D23" s="280"/>
      <c r="E23" s="277" t="s">
        <v>172</v>
      </c>
      <c r="F23" s="278"/>
      <c r="G23" s="98"/>
      <c r="H23" s="99"/>
    </row>
    <row r="24" spans="2:8" ht="42" customHeight="1" x14ac:dyDescent="0.25">
      <c r="B24" s="95"/>
      <c r="C24" s="279" t="s">
        <v>48</v>
      </c>
      <c r="D24" s="280"/>
      <c r="E24" s="277" t="s">
        <v>173</v>
      </c>
      <c r="F24" s="278"/>
      <c r="G24" s="98"/>
      <c r="H24" s="99"/>
    </row>
    <row r="25" spans="2:8" ht="59.25" customHeight="1" x14ac:dyDescent="0.25">
      <c r="B25" s="95"/>
      <c r="C25" s="279" t="s">
        <v>161</v>
      </c>
      <c r="D25" s="280"/>
      <c r="E25" s="277" t="s">
        <v>174</v>
      </c>
      <c r="F25" s="278"/>
      <c r="G25" s="98"/>
      <c r="H25" s="99"/>
    </row>
    <row r="26" spans="2:8" ht="23.25" customHeight="1" x14ac:dyDescent="0.25">
      <c r="B26" s="95"/>
      <c r="C26" s="279" t="s">
        <v>12</v>
      </c>
      <c r="D26" s="280"/>
      <c r="E26" s="277" t="s">
        <v>175</v>
      </c>
      <c r="F26" s="278"/>
      <c r="G26" s="98"/>
      <c r="H26" s="99"/>
    </row>
    <row r="27" spans="2:8" ht="30.75" customHeight="1" x14ac:dyDescent="0.25">
      <c r="B27" s="95"/>
      <c r="C27" s="279" t="s">
        <v>179</v>
      </c>
      <c r="D27" s="280"/>
      <c r="E27" s="277" t="s">
        <v>176</v>
      </c>
      <c r="F27" s="278"/>
      <c r="G27" s="98"/>
      <c r="H27" s="99"/>
    </row>
    <row r="28" spans="2:8" ht="35.25" customHeight="1" x14ac:dyDescent="0.25">
      <c r="B28" s="95"/>
      <c r="C28" s="279" t="s">
        <v>180</v>
      </c>
      <c r="D28" s="280"/>
      <c r="E28" s="277" t="s">
        <v>177</v>
      </c>
      <c r="F28" s="278"/>
      <c r="G28" s="98"/>
      <c r="H28" s="99"/>
    </row>
    <row r="29" spans="2:8" ht="33" customHeight="1" x14ac:dyDescent="0.25">
      <c r="B29" s="95"/>
      <c r="C29" s="279" t="s">
        <v>180</v>
      </c>
      <c r="D29" s="280"/>
      <c r="E29" s="277" t="s">
        <v>177</v>
      </c>
      <c r="F29" s="278"/>
      <c r="G29" s="98"/>
      <c r="H29" s="99"/>
    </row>
    <row r="30" spans="2:8" ht="30" customHeight="1" x14ac:dyDescent="0.25">
      <c r="B30" s="95"/>
      <c r="C30" s="279" t="s">
        <v>181</v>
      </c>
      <c r="D30" s="280"/>
      <c r="E30" s="277" t="s">
        <v>178</v>
      </c>
      <c r="F30" s="278"/>
      <c r="G30" s="98"/>
      <c r="H30" s="99"/>
    </row>
    <row r="31" spans="2:8" ht="35.25" customHeight="1" x14ac:dyDescent="0.25">
      <c r="B31" s="95"/>
      <c r="C31" s="279" t="s">
        <v>182</v>
      </c>
      <c r="D31" s="280"/>
      <c r="E31" s="277" t="s">
        <v>183</v>
      </c>
      <c r="F31" s="278"/>
      <c r="G31" s="98"/>
      <c r="H31" s="99"/>
    </row>
    <row r="32" spans="2:8" ht="31.5" customHeight="1" x14ac:dyDescent="0.25">
      <c r="B32" s="95"/>
      <c r="C32" s="279" t="s">
        <v>184</v>
      </c>
      <c r="D32" s="280"/>
      <c r="E32" s="277" t="s">
        <v>185</v>
      </c>
      <c r="F32" s="278"/>
      <c r="G32" s="98"/>
      <c r="H32" s="99"/>
    </row>
    <row r="33" spans="2:8" ht="35.25" customHeight="1" x14ac:dyDescent="0.25">
      <c r="B33" s="95"/>
      <c r="C33" s="279" t="s">
        <v>186</v>
      </c>
      <c r="D33" s="280"/>
      <c r="E33" s="277" t="s">
        <v>187</v>
      </c>
      <c r="F33" s="278"/>
      <c r="G33" s="98"/>
      <c r="H33" s="99"/>
    </row>
    <row r="34" spans="2:8" ht="59.25" customHeight="1" x14ac:dyDescent="0.25">
      <c r="B34" s="95"/>
      <c r="C34" s="279" t="s">
        <v>188</v>
      </c>
      <c r="D34" s="280"/>
      <c r="E34" s="277" t="s">
        <v>189</v>
      </c>
      <c r="F34" s="278"/>
      <c r="G34" s="98"/>
      <c r="H34" s="99"/>
    </row>
    <row r="35" spans="2:8" ht="29.25" customHeight="1" x14ac:dyDescent="0.25">
      <c r="B35" s="95"/>
      <c r="C35" s="279" t="s">
        <v>29</v>
      </c>
      <c r="D35" s="280"/>
      <c r="E35" s="277" t="s">
        <v>190</v>
      </c>
      <c r="F35" s="278"/>
      <c r="G35" s="98"/>
      <c r="H35" s="99"/>
    </row>
    <row r="36" spans="2:8" ht="82.5" customHeight="1" x14ac:dyDescent="0.25">
      <c r="B36" s="95"/>
      <c r="C36" s="279" t="s">
        <v>192</v>
      </c>
      <c r="D36" s="280"/>
      <c r="E36" s="277" t="s">
        <v>191</v>
      </c>
      <c r="F36" s="278"/>
      <c r="G36" s="98"/>
      <c r="H36" s="99"/>
    </row>
    <row r="37" spans="2:8" ht="46.5" customHeight="1" x14ac:dyDescent="0.25">
      <c r="B37" s="95"/>
      <c r="C37" s="279" t="s">
        <v>39</v>
      </c>
      <c r="D37" s="280"/>
      <c r="E37" s="277" t="s">
        <v>193</v>
      </c>
      <c r="F37" s="278"/>
      <c r="G37" s="98"/>
      <c r="H37" s="99"/>
    </row>
    <row r="38" spans="2:8" ht="6.75" customHeight="1" thickBot="1" x14ac:dyDescent="0.3">
      <c r="B38" s="95"/>
      <c r="C38" s="290"/>
      <c r="D38" s="291"/>
      <c r="E38" s="292"/>
      <c r="F38" s="293"/>
      <c r="G38" s="98"/>
      <c r="H38" s="99"/>
    </row>
    <row r="39" spans="2:8" ht="15.75" thickTop="1" x14ac:dyDescent="0.25">
      <c r="B39" s="95"/>
      <c r="C39" s="96"/>
      <c r="D39" s="96"/>
      <c r="E39" s="97"/>
      <c r="F39" s="97"/>
      <c r="G39" s="98"/>
      <c r="H39" s="99"/>
    </row>
    <row r="40" spans="2:8" ht="21" customHeight="1" x14ac:dyDescent="0.25">
      <c r="B40" s="287" t="s">
        <v>202</v>
      </c>
      <c r="C40" s="288"/>
      <c r="D40" s="288"/>
      <c r="E40" s="288"/>
      <c r="F40" s="288"/>
      <c r="G40" s="288"/>
      <c r="H40" s="289"/>
    </row>
    <row r="41" spans="2:8" ht="20.25" customHeight="1" x14ac:dyDescent="0.25">
      <c r="B41" s="287" t="s">
        <v>203</v>
      </c>
      <c r="C41" s="288"/>
      <c r="D41" s="288"/>
      <c r="E41" s="288"/>
      <c r="F41" s="288"/>
      <c r="G41" s="288"/>
      <c r="H41" s="289"/>
    </row>
    <row r="42" spans="2:8" ht="20.25" customHeight="1" x14ac:dyDescent="0.25">
      <c r="B42" s="287" t="s">
        <v>204</v>
      </c>
      <c r="C42" s="288"/>
      <c r="D42" s="288"/>
      <c r="E42" s="288"/>
      <c r="F42" s="288"/>
      <c r="G42" s="288"/>
      <c r="H42" s="289"/>
    </row>
    <row r="43" spans="2:8" ht="20.25" customHeight="1" x14ac:dyDescent="0.25">
      <c r="B43" s="287" t="s">
        <v>205</v>
      </c>
      <c r="C43" s="288"/>
      <c r="D43" s="288"/>
      <c r="E43" s="288"/>
      <c r="F43" s="288"/>
      <c r="G43" s="288"/>
      <c r="H43" s="289"/>
    </row>
    <row r="44" spans="2:8" x14ac:dyDescent="0.25">
      <c r="B44" s="287" t="s">
        <v>206</v>
      </c>
      <c r="C44" s="288"/>
      <c r="D44" s="288"/>
      <c r="E44" s="288"/>
      <c r="F44" s="288"/>
      <c r="G44" s="288"/>
      <c r="H44" s="289"/>
    </row>
    <row r="45" spans="2:8" ht="15.75" thickBot="1" x14ac:dyDescent="0.3">
      <c r="B45" s="100"/>
      <c r="C45" s="101"/>
      <c r="D45" s="101"/>
      <c r="E45" s="101"/>
      <c r="F45" s="101"/>
      <c r="G45" s="101"/>
      <c r="H45" s="102"/>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2060"/>
  </sheetPr>
  <dimension ref="A1:BU74"/>
  <sheetViews>
    <sheetView showGridLines="0" tabSelected="1" zoomScale="40" zoomScaleNormal="40" zoomScaleSheetLayoutView="20" workbookViewId="0">
      <selection activeCell="A12" sqref="A12:A17"/>
    </sheetView>
  </sheetViews>
  <sheetFormatPr baseColWidth="10" defaultRowHeight="14.25" x14ac:dyDescent="0.2"/>
  <cols>
    <col min="1" max="1" width="5.5703125" style="117" customWidth="1"/>
    <col min="2" max="2" width="5.85546875" style="117" customWidth="1"/>
    <col min="3" max="3" width="11" style="139" customWidth="1"/>
    <col min="4" max="4" width="16" style="117" customWidth="1"/>
    <col min="5" max="5" width="18.85546875" style="117" customWidth="1"/>
    <col min="6" max="6" width="23.140625" style="117" customWidth="1"/>
    <col min="7" max="7" width="37.85546875" style="117" customWidth="1"/>
    <col min="8" max="8" width="47.85546875" style="117" customWidth="1"/>
    <col min="9" max="10" width="32.42578125" style="109" customWidth="1"/>
    <col min="11" max="11" width="19" style="118" customWidth="1"/>
    <col min="12" max="12" width="17.85546875" style="109" customWidth="1"/>
    <col min="13" max="13" width="16.5703125" style="109" customWidth="1"/>
    <col min="14" max="14" width="11" style="109" customWidth="1"/>
    <col min="15" max="15" width="27.28515625" style="109" bestFit="1" customWidth="1"/>
    <col min="16" max="16" width="30.5703125" style="109" hidden="1" customWidth="1"/>
    <col min="17" max="17" width="17.5703125" style="109" customWidth="1"/>
    <col min="18" max="18" width="12.7109375" style="109" customWidth="1"/>
    <col min="19" max="19" width="16" style="109" customWidth="1"/>
    <col min="20" max="20" width="5.85546875" style="114" customWidth="1"/>
    <col min="21" max="21" width="59.42578125" style="109" customWidth="1"/>
    <col min="22" max="22" width="16.5703125" style="114" customWidth="1"/>
    <col min="23" max="23" width="6.85546875" style="142" customWidth="1"/>
    <col min="24" max="24" width="5" style="142" customWidth="1"/>
    <col min="25" max="25" width="5.5703125" style="139" customWidth="1"/>
    <col min="26" max="26" width="7.140625" style="142" customWidth="1"/>
    <col min="27" max="27" width="6.7109375" style="142" customWidth="1"/>
    <col min="28" max="28" width="7.5703125" style="142" customWidth="1"/>
    <col min="29" max="29" width="38.28515625" style="109" hidden="1" customWidth="1"/>
    <col min="30" max="30" width="10.5703125" style="117" customWidth="1"/>
    <col min="31" max="31" width="10.42578125" style="117" customWidth="1"/>
    <col min="32" max="32" width="9.28515625" style="117" customWidth="1"/>
    <col min="33" max="33" width="9.140625" style="117" customWidth="1"/>
    <col min="34" max="34" width="8.42578125" style="117" customWidth="1"/>
    <col min="35" max="35" width="7.28515625" style="117" customWidth="1"/>
    <col min="36" max="36" width="46" style="109" customWidth="1"/>
    <col min="37" max="37" width="18.85546875" style="109" customWidth="1"/>
    <col min="38" max="38" width="23.85546875" style="109" customWidth="1"/>
    <col min="39" max="39" width="21.85546875" style="109" customWidth="1"/>
    <col min="40" max="40" width="18.5703125" style="109" customWidth="1"/>
    <col min="41" max="41" width="12.7109375" style="109" bestFit="1" customWidth="1"/>
    <col min="42" max="42" width="39.28515625" style="109" customWidth="1"/>
    <col min="43" max="16384" width="11.42578125" style="109"/>
  </cols>
  <sheetData>
    <row r="1" spans="1:73" ht="39.75" customHeight="1" x14ac:dyDescent="0.2">
      <c r="A1" s="370"/>
      <c r="B1" s="370"/>
      <c r="C1" s="370"/>
      <c r="D1" s="370"/>
      <c r="E1" s="371" t="s">
        <v>214</v>
      </c>
      <c r="F1" s="371"/>
      <c r="G1" s="371"/>
      <c r="H1" s="371"/>
      <c r="I1" s="371"/>
      <c r="J1" s="371"/>
      <c r="K1" s="371"/>
      <c r="L1" s="371"/>
      <c r="M1" s="371"/>
      <c r="N1" s="371"/>
      <c r="O1" s="371"/>
      <c r="P1" s="371"/>
      <c r="Q1" s="371"/>
      <c r="R1" s="371"/>
      <c r="S1" s="371"/>
      <c r="T1" s="371"/>
      <c r="U1" s="396" t="s">
        <v>215</v>
      </c>
      <c r="V1" s="396"/>
      <c r="W1" s="396"/>
      <c r="X1" s="396"/>
      <c r="Y1" s="396"/>
      <c r="Z1" s="396"/>
      <c r="AA1" s="396"/>
      <c r="AB1" s="396"/>
      <c r="AC1" s="396"/>
      <c r="AD1" s="396"/>
      <c r="AE1" s="396"/>
      <c r="AF1" s="396"/>
      <c r="AG1" s="396"/>
      <c r="AH1" s="396"/>
      <c r="AI1" s="396"/>
      <c r="AJ1" s="396"/>
      <c r="AK1" s="396"/>
      <c r="AL1" s="396"/>
      <c r="AM1" s="396"/>
      <c r="AN1" s="396"/>
      <c r="AO1" s="396"/>
    </row>
    <row r="2" spans="1:73" ht="39.75" customHeight="1" x14ac:dyDescent="0.2">
      <c r="A2" s="370"/>
      <c r="B2" s="370"/>
      <c r="C2" s="370"/>
      <c r="D2" s="370"/>
      <c r="E2" s="371"/>
      <c r="F2" s="371"/>
      <c r="G2" s="371"/>
      <c r="H2" s="371"/>
      <c r="I2" s="371"/>
      <c r="J2" s="371"/>
      <c r="K2" s="371"/>
      <c r="L2" s="371"/>
      <c r="M2" s="371"/>
      <c r="N2" s="371"/>
      <c r="O2" s="371"/>
      <c r="P2" s="371"/>
      <c r="Q2" s="371"/>
      <c r="R2" s="371"/>
      <c r="S2" s="371"/>
      <c r="T2" s="371"/>
      <c r="U2" s="396" t="s">
        <v>216</v>
      </c>
      <c r="V2" s="396"/>
      <c r="W2" s="396"/>
      <c r="X2" s="396"/>
      <c r="Y2" s="396"/>
      <c r="Z2" s="396"/>
      <c r="AA2" s="396"/>
      <c r="AB2" s="396"/>
      <c r="AC2" s="396"/>
      <c r="AD2" s="396"/>
      <c r="AE2" s="396"/>
      <c r="AF2" s="396"/>
      <c r="AG2" s="396"/>
      <c r="AH2" s="396"/>
      <c r="AI2" s="396"/>
      <c r="AJ2" s="396"/>
      <c r="AK2" s="396"/>
      <c r="AL2" s="396"/>
      <c r="AM2" s="396"/>
      <c r="AN2" s="396"/>
      <c r="AO2" s="396"/>
    </row>
    <row r="3" spans="1:73" ht="39.75" customHeight="1" x14ac:dyDescent="0.2">
      <c r="A3" s="370"/>
      <c r="B3" s="370"/>
      <c r="C3" s="370"/>
      <c r="D3" s="370"/>
      <c r="E3" s="371"/>
      <c r="F3" s="371"/>
      <c r="G3" s="371"/>
      <c r="H3" s="371"/>
      <c r="I3" s="371"/>
      <c r="J3" s="371"/>
      <c r="K3" s="371"/>
      <c r="L3" s="371"/>
      <c r="M3" s="371"/>
      <c r="N3" s="371"/>
      <c r="O3" s="371"/>
      <c r="P3" s="371"/>
      <c r="Q3" s="371"/>
      <c r="R3" s="371"/>
      <c r="S3" s="371"/>
      <c r="T3" s="371"/>
      <c r="U3" s="396" t="s">
        <v>217</v>
      </c>
      <c r="V3" s="396"/>
      <c r="W3" s="396"/>
      <c r="X3" s="396"/>
      <c r="Y3" s="396"/>
      <c r="Z3" s="396"/>
      <c r="AA3" s="396"/>
      <c r="AB3" s="396"/>
      <c r="AC3" s="396"/>
      <c r="AD3" s="396"/>
      <c r="AE3" s="396"/>
      <c r="AF3" s="396"/>
      <c r="AG3" s="396"/>
      <c r="AH3" s="396"/>
      <c r="AI3" s="396"/>
      <c r="AJ3" s="396"/>
      <c r="AK3" s="396"/>
      <c r="AL3" s="396"/>
      <c r="AM3" s="396"/>
      <c r="AN3" s="396"/>
      <c r="AO3" s="396"/>
    </row>
    <row r="4" spans="1:73" ht="39.75" customHeight="1" x14ac:dyDescent="0.2">
      <c r="A4" s="377" t="s">
        <v>376</v>
      </c>
      <c r="B4" s="377"/>
      <c r="C4" s="377"/>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377"/>
      <c r="AM4" s="377"/>
      <c r="AN4" s="377"/>
      <c r="AO4" s="377"/>
      <c r="AP4" s="110"/>
      <c r="AQ4" s="110"/>
      <c r="AR4" s="110"/>
      <c r="AS4" s="110"/>
      <c r="AT4" s="110"/>
      <c r="AU4" s="110"/>
      <c r="AV4" s="110"/>
      <c r="AW4" s="110"/>
      <c r="AX4" s="110"/>
      <c r="AY4" s="110"/>
      <c r="AZ4" s="110"/>
      <c r="BA4" s="110"/>
      <c r="BB4" s="110"/>
      <c r="BC4" s="110"/>
      <c r="BD4" s="110"/>
      <c r="BE4" s="110"/>
      <c r="BF4" s="110"/>
      <c r="BG4" s="110"/>
      <c r="BH4" s="110"/>
      <c r="BI4" s="110"/>
      <c r="BJ4" s="110"/>
      <c r="BK4" s="110"/>
      <c r="BL4" s="110"/>
      <c r="BM4" s="110"/>
      <c r="BN4" s="110"/>
      <c r="BO4" s="110"/>
      <c r="BP4" s="110"/>
      <c r="BQ4" s="110"/>
      <c r="BR4" s="110"/>
      <c r="BS4" s="110"/>
      <c r="BT4" s="110"/>
      <c r="BU4" s="110"/>
    </row>
    <row r="5" spans="1:73" ht="8.25" customHeight="1" x14ac:dyDescent="0.2">
      <c r="A5" s="111"/>
      <c r="B5" s="111"/>
      <c r="C5" s="137"/>
      <c r="D5" s="112"/>
      <c r="E5" s="111"/>
      <c r="F5" s="111"/>
      <c r="G5" s="111"/>
      <c r="H5" s="111"/>
      <c r="I5" s="110"/>
      <c r="J5" s="110"/>
      <c r="K5" s="113"/>
      <c r="L5" s="110"/>
      <c r="M5" s="110"/>
      <c r="N5" s="110"/>
      <c r="O5" s="110"/>
      <c r="P5" s="110"/>
      <c r="Q5" s="110"/>
      <c r="R5" s="110"/>
      <c r="S5" s="110"/>
      <c r="T5" s="120"/>
      <c r="U5" s="110"/>
      <c r="V5" s="120"/>
      <c r="W5" s="141"/>
      <c r="X5" s="141"/>
      <c r="Y5" s="137"/>
      <c r="Z5" s="141"/>
      <c r="AA5" s="141"/>
      <c r="AB5" s="141"/>
      <c r="AC5" s="110"/>
      <c r="AD5" s="111"/>
      <c r="AE5" s="111"/>
      <c r="AF5" s="111"/>
      <c r="AG5" s="111"/>
      <c r="AH5" s="111"/>
      <c r="AI5" s="111"/>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row>
    <row r="6" spans="1:73" s="170" customFormat="1" ht="37.5" hidden="1" customHeight="1" x14ac:dyDescent="0.2">
      <c r="A6" s="379" t="s">
        <v>43</v>
      </c>
      <c r="B6" s="379"/>
      <c r="C6" s="379"/>
      <c r="D6" s="379"/>
      <c r="E6" s="375"/>
      <c r="F6" s="375"/>
      <c r="G6" s="375"/>
      <c r="H6" s="375"/>
      <c r="I6" s="375"/>
      <c r="J6" s="375"/>
      <c r="K6" s="375"/>
      <c r="L6" s="375"/>
      <c r="M6" s="375"/>
      <c r="N6" s="375"/>
      <c r="O6" s="375"/>
      <c r="P6" s="375"/>
      <c r="Q6" s="375"/>
      <c r="R6" s="375"/>
      <c r="S6" s="375"/>
      <c r="T6" s="376"/>
      <c r="U6" s="376"/>
      <c r="V6" s="376"/>
      <c r="W6" s="167"/>
      <c r="X6" s="167"/>
      <c r="Y6" s="168"/>
      <c r="Z6" s="167"/>
      <c r="AA6" s="167"/>
      <c r="AB6" s="167"/>
      <c r="AC6" s="149"/>
      <c r="AD6" s="169"/>
      <c r="AE6" s="169"/>
      <c r="AF6" s="169"/>
      <c r="AG6" s="169"/>
      <c r="AH6" s="169"/>
      <c r="AI6" s="16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row>
    <row r="7" spans="1:73" s="170" customFormat="1" ht="37.5" hidden="1" customHeight="1" x14ac:dyDescent="0.2">
      <c r="A7" s="379" t="s">
        <v>130</v>
      </c>
      <c r="B7" s="379"/>
      <c r="C7" s="379"/>
      <c r="D7" s="379"/>
      <c r="E7" s="375"/>
      <c r="F7" s="375"/>
      <c r="G7" s="375"/>
      <c r="H7" s="375"/>
      <c r="I7" s="375"/>
      <c r="J7" s="375"/>
      <c r="K7" s="375"/>
      <c r="L7" s="375"/>
      <c r="M7" s="375"/>
      <c r="N7" s="375"/>
      <c r="O7" s="375"/>
      <c r="P7" s="375"/>
      <c r="Q7" s="375"/>
      <c r="R7" s="375"/>
      <c r="S7" s="375"/>
      <c r="T7" s="171"/>
      <c r="U7" s="149"/>
      <c r="V7" s="171"/>
      <c r="W7" s="167"/>
      <c r="X7" s="167"/>
      <c r="Y7" s="168"/>
      <c r="Z7" s="167"/>
      <c r="AA7" s="167"/>
      <c r="AB7" s="167"/>
      <c r="AC7" s="149"/>
      <c r="AD7" s="169"/>
      <c r="AE7" s="169"/>
      <c r="AF7" s="169"/>
      <c r="AG7" s="169"/>
      <c r="AH7" s="169"/>
      <c r="AI7" s="16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row>
    <row r="8" spans="1:73" s="170" customFormat="1" ht="37.5" hidden="1" customHeight="1" x14ac:dyDescent="0.2">
      <c r="A8" s="380" t="s">
        <v>44</v>
      </c>
      <c r="B8" s="380"/>
      <c r="C8" s="380"/>
      <c r="D8" s="380"/>
      <c r="E8" s="381"/>
      <c r="F8" s="381"/>
      <c r="G8" s="381"/>
      <c r="H8" s="381"/>
      <c r="I8" s="381"/>
      <c r="J8" s="381"/>
      <c r="K8" s="381"/>
      <c r="L8" s="381"/>
      <c r="M8" s="381"/>
      <c r="N8" s="381"/>
      <c r="O8" s="381"/>
      <c r="P8" s="381"/>
      <c r="Q8" s="381"/>
      <c r="R8" s="381"/>
      <c r="S8" s="381"/>
      <c r="T8" s="171"/>
      <c r="U8" s="149"/>
      <c r="V8" s="171"/>
      <c r="W8" s="167"/>
      <c r="X8" s="167"/>
      <c r="Y8" s="168"/>
      <c r="Z8" s="167"/>
      <c r="AA8" s="167"/>
      <c r="AB8" s="167"/>
      <c r="AC8" s="149"/>
      <c r="AD8" s="169"/>
      <c r="AE8" s="169"/>
      <c r="AF8" s="169"/>
      <c r="AG8" s="169"/>
      <c r="AH8" s="169"/>
      <c r="AI8" s="16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row>
    <row r="9" spans="1:73" s="144" customFormat="1" ht="24.75" customHeight="1" x14ac:dyDescent="0.25">
      <c r="A9" s="374" t="s">
        <v>138</v>
      </c>
      <c r="B9" s="374"/>
      <c r="C9" s="374"/>
      <c r="D9" s="374"/>
      <c r="E9" s="374"/>
      <c r="F9" s="374"/>
      <c r="G9" s="374"/>
      <c r="H9" s="374"/>
      <c r="I9" s="374"/>
      <c r="J9" s="374"/>
      <c r="K9" s="374"/>
      <c r="L9" s="374"/>
      <c r="M9" s="374" t="s">
        <v>139</v>
      </c>
      <c r="N9" s="374"/>
      <c r="O9" s="374"/>
      <c r="P9" s="374"/>
      <c r="Q9" s="374"/>
      <c r="R9" s="374"/>
      <c r="S9" s="374"/>
      <c r="T9" s="374" t="s">
        <v>140</v>
      </c>
      <c r="U9" s="374"/>
      <c r="V9" s="374"/>
      <c r="W9" s="374"/>
      <c r="X9" s="374"/>
      <c r="Y9" s="374"/>
      <c r="Z9" s="374"/>
      <c r="AA9" s="374"/>
      <c r="AB9" s="374"/>
      <c r="AC9" s="374" t="s">
        <v>141</v>
      </c>
      <c r="AD9" s="374"/>
      <c r="AE9" s="374"/>
      <c r="AF9" s="374"/>
      <c r="AG9" s="374"/>
      <c r="AH9" s="374"/>
      <c r="AI9" s="374"/>
      <c r="AJ9" s="374" t="s">
        <v>34</v>
      </c>
      <c r="AK9" s="374"/>
      <c r="AL9" s="374"/>
      <c r="AM9" s="374"/>
      <c r="AN9" s="374"/>
      <c r="AO9" s="378"/>
      <c r="AP9" s="402" t="s">
        <v>440</v>
      </c>
    </row>
    <row r="10" spans="1:73" s="170" customFormat="1" ht="16.5" customHeight="1" x14ac:dyDescent="0.2">
      <c r="A10" s="386" t="s">
        <v>0</v>
      </c>
      <c r="B10" s="386" t="s">
        <v>194</v>
      </c>
      <c r="C10" s="382" t="s">
        <v>212</v>
      </c>
      <c r="D10" s="374" t="s">
        <v>2</v>
      </c>
      <c r="E10" s="385" t="s">
        <v>3</v>
      </c>
      <c r="F10" s="385" t="s">
        <v>42</v>
      </c>
      <c r="G10" s="372" t="s">
        <v>222</v>
      </c>
      <c r="H10" s="385" t="s">
        <v>213</v>
      </c>
      <c r="I10" s="374" t="s">
        <v>225</v>
      </c>
      <c r="J10" s="374" t="s">
        <v>226</v>
      </c>
      <c r="K10" s="385" t="s">
        <v>50</v>
      </c>
      <c r="L10" s="385" t="s">
        <v>134</v>
      </c>
      <c r="M10" s="385" t="s">
        <v>33</v>
      </c>
      <c r="N10" s="374" t="s">
        <v>5</v>
      </c>
      <c r="O10" s="385" t="s">
        <v>87</v>
      </c>
      <c r="P10" s="385" t="s">
        <v>92</v>
      </c>
      <c r="Q10" s="385" t="s">
        <v>45</v>
      </c>
      <c r="R10" s="374" t="s">
        <v>5</v>
      </c>
      <c r="S10" s="385" t="s">
        <v>48</v>
      </c>
      <c r="T10" s="382" t="s">
        <v>11</v>
      </c>
      <c r="U10" s="385" t="s">
        <v>161</v>
      </c>
      <c r="V10" s="385" t="s">
        <v>12</v>
      </c>
      <c r="W10" s="385" t="s">
        <v>8</v>
      </c>
      <c r="X10" s="385"/>
      <c r="Y10" s="385"/>
      <c r="Z10" s="385"/>
      <c r="AA10" s="385"/>
      <c r="AB10" s="385"/>
      <c r="AC10" s="382" t="s">
        <v>137</v>
      </c>
      <c r="AD10" s="382" t="s">
        <v>46</v>
      </c>
      <c r="AE10" s="382" t="s">
        <v>5</v>
      </c>
      <c r="AF10" s="382" t="s">
        <v>47</v>
      </c>
      <c r="AG10" s="382" t="s">
        <v>5</v>
      </c>
      <c r="AH10" s="382" t="s">
        <v>49</v>
      </c>
      <c r="AI10" s="382" t="s">
        <v>29</v>
      </c>
      <c r="AJ10" s="385" t="s">
        <v>34</v>
      </c>
      <c r="AK10" s="385" t="s">
        <v>35</v>
      </c>
      <c r="AL10" s="385" t="s">
        <v>36</v>
      </c>
      <c r="AM10" s="385" t="s">
        <v>38</v>
      </c>
      <c r="AN10" s="385" t="s">
        <v>37</v>
      </c>
      <c r="AO10" s="383" t="s">
        <v>39</v>
      </c>
      <c r="AP10" s="403"/>
    </row>
    <row r="11" spans="1:73" s="166" customFormat="1" ht="98.25" x14ac:dyDescent="0.25">
      <c r="A11" s="386"/>
      <c r="B11" s="386"/>
      <c r="C11" s="382"/>
      <c r="D11" s="374"/>
      <c r="E11" s="385"/>
      <c r="F11" s="385"/>
      <c r="G11" s="373"/>
      <c r="H11" s="385"/>
      <c r="I11" s="374"/>
      <c r="J11" s="374"/>
      <c r="K11" s="385"/>
      <c r="L11" s="385"/>
      <c r="M11" s="385"/>
      <c r="N11" s="374"/>
      <c r="O11" s="385"/>
      <c r="P11" s="385"/>
      <c r="Q11" s="374"/>
      <c r="R11" s="374"/>
      <c r="S11" s="385"/>
      <c r="T11" s="382"/>
      <c r="U11" s="385"/>
      <c r="V11" s="385"/>
      <c r="W11" s="199" t="s">
        <v>13</v>
      </c>
      <c r="X11" s="199" t="s">
        <v>17</v>
      </c>
      <c r="Y11" s="199" t="s">
        <v>28</v>
      </c>
      <c r="Z11" s="199" t="s">
        <v>18</v>
      </c>
      <c r="AA11" s="199" t="s">
        <v>21</v>
      </c>
      <c r="AB11" s="199" t="s">
        <v>24</v>
      </c>
      <c r="AC11" s="382"/>
      <c r="AD11" s="382"/>
      <c r="AE11" s="382"/>
      <c r="AF11" s="382"/>
      <c r="AG11" s="382"/>
      <c r="AH11" s="382"/>
      <c r="AI11" s="382"/>
      <c r="AJ11" s="372"/>
      <c r="AK11" s="372"/>
      <c r="AL11" s="372"/>
      <c r="AM11" s="372"/>
      <c r="AN11" s="372"/>
      <c r="AO11" s="384"/>
      <c r="AP11" s="404"/>
    </row>
    <row r="12" spans="1:73" s="181" customFormat="1" ht="123.75" customHeight="1" x14ac:dyDescent="0.25">
      <c r="A12" s="389">
        <v>1</v>
      </c>
      <c r="B12" s="334" t="s">
        <v>232</v>
      </c>
      <c r="C12" s="334" t="s">
        <v>233</v>
      </c>
      <c r="D12" s="331" t="s">
        <v>133</v>
      </c>
      <c r="E12" s="331" t="s">
        <v>377</v>
      </c>
      <c r="F12" s="331" t="s">
        <v>378</v>
      </c>
      <c r="G12" s="357" t="s">
        <v>379</v>
      </c>
      <c r="H12" s="357" t="s">
        <v>380</v>
      </c>
      <c r="I12" s="395" t="s">
        <v>486</v>
      </c>
      <c r="J12" s="323" t="s">
        <v>381</v>
      </c>
      <c r="K12" s="331" t="s">
        <v>123</v>
      </c>
      <c r="L12" s="332">
        <v>9000</v>
      </c>
      <c r="M12" s="327" t="str">
        <f>IF(L12&lt;=0,"",IF(L12&lt;=2,"Muy Baja",IF(L12&lt;=24,"Baja",IF(L12&lt;=500,"Media",IF(L12&lt;=5000,"Alta","Muy Alta")))))</f>
        <v>Muy Alta</v>
      </c>
      <c r="N12" s="326">
        <f>IF(M12="","",IF(M12="Muy Baja",0.2,IF(M12="Baja",0.4,IF(M12="Media",0.6,IF(M12="Alta",0.8,IF(M12="Muy Alta",1,))))))</f>
        <v>1</v>
      </c>
      <c r="O12" s="333" t="s">
        <v>147</v>
      </c>
      <c r="P12" s="326" t="str">
        <f>IF(NOT(ISERROR(MATCH(O12,'Tabla Impacto'!$B$221:$B$223,0))),'Tabla Impacto'!$F$223&amp;"Por favor no seleccionar los criterios de impacto(Afectación Económica o presupuestal y Pérdida Reputacional)",O12)</f>
        <v xml:space="preserve">     Entre 50 y 100 SMLMV </v>
      </c>
      <c r="Q12" s="327" t="str">
        <f>IF(OR(P12='Tabla Impacto'!$C$11,P12='Tabla Impacto'!$D$11),"Leve",IF(OR(P12='Tabla Impacto'!$C$12,P12='Tabla Impacto'!$D$12),"Menor",IF(OR(P12='Tabla Impacto'!$C$13,P12='Tabla Impacto'!$D$13),"Moderado",IF(OR(P12='Tabla Impacto'!$C$14,P12='Tabla Impacto'!$D$14),"Mayor",IF(OR(P12='Tabla Impacto'!$C$15,P12='Tabla Impacto'!$D$15),"Catastrófico","")))))</f>
        <v>Moderado</v>
      </c>
      <c r="R12" s="326">
        <f>IF(Q12="","",IF(Q12="Leve",0.2,IF(Q12="Menor",0.4,IF(Q12="Moderado",0.6,IF(Q12="Mayor",0.8,IF(Q12="Catastrófico",1,))))))</f>
        <v>0.6</v>
      </c>
      <c r="S12" s="339" t="str">
        <f>IF(OR(AND(M12="Muy Baja",Q12="Leve"),AND(M12="Muy Baja",Q12="Menor"),AND(M12="Baja",Q12="Leve")),"Bajo",IF(OR(AND(M12="Muy baja",Q12="Moderado"),AND(M12="Baja",Q12="Menor"),AND(M12="Baja",Q12="Moderado"),AND(M12="Media",Q12="Leve"),AND(M12="Media",Q12="Menor"),AND(M12="Media",Q12="Moderado"),AND(M12="Alta",Q12="Leve"),AND(M12="Alta",Q12="Menor")),"Moderado",IF(OR(AND(M12="Muy Baja",Q12="Mayor"),AND(M12="Baja",Q12="Mayor"),AND(M12="Media",Q12="Mayor"),AND(M12="Alta",Q12="Moderado"),AND(M12="Alta",Q12="Mayor"),AND(M12="Muy Alta",Q12="Leve"),AND(M12="Muy Alta",Q12="Menor"),AND(M12="Muy Alta",Q12="Moderado"),AND(M12="Muy Alta",Q12="Mayor")),"Alto",IF(OR(AND(M12="Muy Baja",Q12="Catastrófico"),AND(M12="Baja",Q12="Catastrófico"),AND(M12="Media",Q12="Catastrófico"),AND(M12="Alta",Q12="Catastrófico"),AND(M12="Muy Alta",Q12="Catastrófico")),"Extremo",""))))</f>
        <v>Alto</v>
      </c>
      <c r="T12" s="172">
        <v>1</v>
      </c>
      <c r="U12" s="182" t="s">
        <v>426</v>
      </c>
      <c r="V12" s="173" t="str">
        <f>IF(OR(W12="Preventivo",W12="Detectivo"),"Probabilidad",IF(W12="Correctivo","Impacto",""))</f>
        <v>Probabilidad</v>
      </c>
      <c r="W12" s="174" t="s">
        <v>14</v>
      </c>
      <c r="X12" s="174" t="s">
        <v>10</v>
      </c>
      <c r="Y12" s="175" t="str">
        <f>IF(AND(W12="Preventivo",X12="Automático"),"50%",IF(AND(W12="Preventivo",X12="Manual"),"40%",IF(AND(W12="Detectivo",X12="Automático"),"40%",IF(AND(W12="Detectivo",X12="Manual"),"30%",IF(AND(W12="Correctivo",X12="Automático"),"35%",IF(AND(W12="Correctivo",X12="Manual"),"25%",""))))))</f>
        <v>50%</v>
      </c>
      <c r="Z12" s="174" t="s">
        <v>19</v>
      </c>
      <c r="AA12" s="174" t="s">
        <v>22</v>
      </c>
      <c r="AB12" s="174" t="s">
        <v>119</v>
      </c>
      <c r="AC12" s="176">
        <f>IFERROR(IF(V12="Probabilidad",(N12-(+N12*Y12)),IF(V12="Impacto",N12,"")),"")</f>
        <v>0.5</v>
      </c>
      <c r="AD12" s="177" t="str">
        <f>IFERROR(IF(AC12="","",IF(AC12&lt;=0.2,"Muy Baja",IF(AC12&lt;=0.4,"Baja",IF(AC12&lt;=0.6,"Media",IF(AC12&lt;=0.8,"Alta","Muy Alta"))))),"")</f>
        <v>Media</v>
      </c>
      <c r="AE12" s="178">
        <f>+AC12</f>
        <v>0.5</v>
      </c>
      <c r="AF12" s="177" t="str">
        <f>IFERROR(IF(AG12="","",IF(AG12&lt;=0.2,"Leve",IF(AG12&lt;=0.4,"Menor",IF(AG12&lt;=0.6,"Moderado",IF(AG12&lt;=0.8,"Mayor","Catastrófico"))))),"")</f>
        <v>Moderado</v>
      </c>
      <c r="AG12" s="178">
        <f>IFERROR(IF(V12="Impacto",(R12-(+R12*Y12)),IF(V12="Probabilidad",R12,"")),"")</f>
        <v>0.6</v>
      </c>
      <c r="AH12" s="179" t="str">
        <f>IFERROR(IF(OR(AND(AD12="Muy Baja",AF12="Leve"),AND(AD12="Muy Baja",AF12="Menor"),AND(AD12="Baja",AF12="Leve")),"Bajo",IF(OR(AND(AD12="Muy baja",AF12="Moderado"),AND(AD12="Baja",AF12="Menor"),AND(AD12="Baja",AF12="Moderado"),AND(AD12="Media",AF12="Leve"),AND(AD12="Media",AF12="Menor"),AND(AD12="Media",AF12="Moderado"),AND(AD12="Alta",AF12="Leve"),AND(AD12="Alta",AF12="Menor")),"Moderado",IF(OR(AND(AD12="Muy Baja",AF12="Mayor"),AND(AD12="Baja",AF12="Mayor"),AND(AD12="Media",AF12="Mayor"),AND(AD12="Alta",AF12="Moderado"),AND(AD12="Alta",AF12="Mayor"),AND(AD12="Muy Alta",AF12="Leve"),AND(AD12="Muy Alta",AF12="Menor"),AND(AD12="Muy Alta",AF12="Moderado"),AND(AD12="Muy Alta",AF12="Mayor")),"Alto",IF(OR(AND(AD12="Muy Baja",AF12="Catastrófico"),AND(AD12="Baja",AF12="Catastrófico"),AND(AD12="Media",AF12="Catastrófico"),AND(AD12="Alta",AF12="Catastrófico"),AND(AD12="Muy Alta",AF12="Catastrófico")),"Extremo","")))),"")</f>
        <v>Moderado</v>
      </c>
      <c r="AI12" s="198" t="s">
        <v>32</v>
      </c>
      <c r="AJ12" s="351" t="s">
        <v>429</v>
      </c>
      <c r="AK12" s="360" t="s">
        <v>289</v>
      </c>
      <c r="AL12" s="364">
        <v>44928</v>
      </c>
      <c r="AM12" s="365" t="s">
        <v>441</v>
      </c>
      <c r="AN12" s="354" t="s">
        <v>220</v>
      </c>
      <c r="AO12" s="361" t="s">
        <v>421</v>
      </c>
      <c r="AP12" s="352" t="s">
        <v>430</v>
      </c>
      <c r="AQ12" s="171"/>
      <c r="AR12" s="171"/>
      <c r="AS12" s="171"/>
      <c r="AT12" s="171"/>
      <c r="AU12" s="171"/>
      <c r="AV12" s="171"/>
      <c r="AW12" s="171"/>
      <c r="AX12" s="171"/>
      <c r="AY12" s="171"/>
      <c r="AZ12" s="171"/>
      <c r="BA12" s="171"/>
      <c r="BB12" s="171"/>
      <c r="BC12" s="171"/>
      <c r="BD12" s="171"/>
      <c r="BE12" s="171"/>
      <c r="BF12" s="171"/>
      <c r="BG12" s="171"/>
      <c r="BH12" s="171"/>
      <c r="BI12" s="171"/>
      <c r="BJ12" s="171"/>
      <c r="BK12" s="171"/>
      <c r="BL12" s="171"/>
      <c r="BM12" s="171"/>
      <c r="BN12" s="171"/>
      <c r="BO12" s="171"/>
      <c r="BP12" s="171"/>
      <c r="BQ12" s="171"/>
      <c r="BR12" s="171"/>
      <c r="BS12" s="171"/>
      <c r="BT12" s="171"/>
      <c r="BU12" s="171"/>
    </row>
    <row r="13" spans="1:73" s="170" customFormat="1" ht="141" customHeight="1" x14ac:dyDescent="0.2">
      <c r="A13" s="389"/>
      <c r="B13" s="334"/>
      <c r="C13" s="334"/>
      <c r="D13" s="331"/>
      <c r="E13" s="331"/>
      <c r="F13" s="331"/>
      <c r="G13" s="358"/>
      <c r="H13" s="358"/>
      <c r="I13" s="394"/>
      <c r="J13" s="324"/>
      <c r="K13" s="331"/>
      <c r="L13" s="332"/>
      <c r="M13" s="327"/>
      <c r="N13" s="326"/>
      <c r="O13" s="333"/>
      <c r="P13" s="326">
        <f>IF(NOT(ISERROR(MATCH(O13,_xlfn.ANCHORARRAY(I24),0))),N26&amp;"Por favor no seleccionar los criterios de impacto",O13)</f>
        <v>0</v>
      </c>
      <c r="Q13" s="327"/>
      <c r="R13" s="326"/>
      <c r="S13" s="339"/>
      <c r="T13" s="172">
        <v>2</v>
      </c>
      <c r="U13" s="182" t="s">
        <v>427</v>
      </c>
      <c r="V13" s="173" t="str">
        <f>IF(OR(W13="Preventivo",W13="Detectivo"),"Probabilidad",IF(W13="Correctivo","Impacto",""))</f>
        <v>Probabilidad</v>
      </c>
      <c r="W13" s="174" t="s">
        <v>14</v>
      </c>
      <c r="X13" s="174" t="s">
        <v>9</v>
      </c>
      <c r="Y13" s="175" t="str">
        <f t="shared" ref="Y13:Y17" si="0">IF(AND(W13="Preventivo",X13="Automático"),"50%",IF(AND(W13="Preventivo",X13="Manual"),"40%",IF(AND(W13="Detectivo",X13="Automático"),"40%",IF(AND(W13="Detectivo",X13="Manual"),"30%",IF(AND(W13="Correctivo",X13="Automático"),"35%",IF(AND(W13="Correctivo",X13="Manual"),"25%",""))))))</f>
        <v>40%</v>
      </c>
      <c r="Z13" s="174" t="s">
        <v>19</v>
      </c>
      <c r="AA13" s="174" t="s">
        <v>22</v>
      </c>
      <c r="AB13" s="174" t="s">
        <v>119</v>
      </c>
      <c r="AC13" s="176">
        <f>IFERROR(IF(AND(V12="Probabilidad",V13="Probabilidad"),(AE12-(+AE12*Y13)),IF(V13="Probabilidad",(N12-(+N12*Y13)),IF(V13="Impacto",AE12,""))),"")</f>
        <v>0.3</v>
      </c>
      <c r="AD13" s="177" t="str">
        <f t="shared" ref="AD13:AD71" si="1">IFERROR(IF(AC13="","",IF(AC13&lt;=0.2,"Muy Baja",IF(AC13&lt;=0.4,"Baja",IF(AC13&lt;=0.6,"Media",IF(AC13&lt;=0.8,"Alta","Muy Alta"))))),"")</f>
        <v>Baja</v>
      </c>
      <c r="AE13" s="178">
        <f t="shared" ref="AE13:AE17" si="2">+AC13</f>
        <v>0.3</v>
      </c>
      <c r="AF13" s="177" t="str">
        <f t="shared" ref="AF13:AF71" si="3">IFERROR(IF(AG13="","",IF(AG13&lt;=0.2,"Leve",IF(AG13&lt;=0.4,"Menor",IF(AG13&lt;=0.6,"Moderado",IF(AG13&lt;=0.8,"Mayor","Catastrófico"))))),"")</f>
        <v>Moderado</v>
      </c>
      <c r="AG13" s="178">
        <f>IFERROR(IF(AND(V12="Impacto",V13="Impacto"),(AG12-(+AG12*Y13)),IF(V13="Impacto",(R12-(+R12*Y13)),IF(V13="Probabilidad",AG12,""))),"")</f>
        <v>0.6</v>
      </c>
      <c r="AH13" s="179" t="str">
        <f t="shared" ref="AH13:AH17" si="4">IFERROR(IF(OR(AND(AD13="Muy Baja",AF13="Leve"),AND(AD13="Muy Baja",AF13="Menor"),AND(AD13="Baja",AF13="Leve")),"Bajo",IF(OR(AND(AD13="Muy baja",AF13="Moderado"),AND(AD13="Baja",AF13="Menor"),AND(AD13="Baja",AF13="Moderado"),AND(AD13="Media",AF13="Leve"),AND(AD13="Media",AF13="Menor"),AND(AD13="Media",AF13="Moderado"),AND(AD13="Alta",AF13="Leve"),AND(AD13="Alta",AF13="Menor")),"Moderado",IF(OR(AND(AD13="Muy Baja",AF13="Mayor"),AND(AD13="Baja",AF13="Mayor"),AND(AD13="Media",AF13="Mayor"),AND(AD13="Alta",AF13="Moderado"),AND(AD13="Alta",AF13="Mayor"),AND(AD13="Muy Alta",AF13="Leve"),AND(AD13="Muy Alta",AF13="Menor"),AND(AD13="Muy Alta",AF13="Moderado"),AND(AD13="Muy Alta",AF13="Mayor")),"Alto",IF(OR(AND(AD13="Muy Baja",AF13="Catastrófico"),AND(AD13="Baja",AF13="Catastrófico"),AND(AD13="Media",AF13="Catastrófico"),AND(AD13="Alta",AF13="Catastrófico"),AND(AD13="Muy Alta",AF13="Catastrófico")),"Extremo","")))),"")</f>
        <v>Moderado</v>
      </c>
      <c r="AI13" s="198" t="s">
        <v>32</v>
      </c>
      <c r="AJ13" s="352"/>
      <c r="AK13" s="360"/>
      <c r="AL13" s="364"/>
      <c r="AM13" s="364"/>
      <c r="AN13" s="355"/>
      <c r="AO13" s="362"/>
      <c r="AP13" s="352"/>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row>
    <row r="14" spans="1:73" s="170" customFormat="1" ht="101.25" customHeight="1" x14ac:dyDescent="0.2">
      <c r="A14" s="389"/>
      <c r="B14" s="334"/>
      <c r="C14" s="334"/>
      <c r="D14" s="331"/>
      <c r="E14" s="331"/>
      <c r="F14" s="331"/>
      <c r="G14" s="358"/>
      <c r="H14" s="358"/>
      <c r="I14" s="394"/>
      <c r="J14" s="324"/>
      <c r="K14" s="331"/>
      <c r="L14" s="332"/>
      <c r="M14" s="327"/>
      <c r="N14" s="326"/>
      <c r="O14" s="333"/>
      <c r="P14" s="326">
        <f>IF(NOT(ISERROR(MATCH(O14,_xlfn.ANCHORARRAY(I25),0))),N27&amp;"Por favor no seleccionar los criterios de impacto",O14)</f>
        <v>0</v>
      </c>
      <c r="Q14" s="327"/>
      <c r="R14" s="326"/>
      <c r="S14" s="339"/>
      <c r="T14" s="172">
        <v>3</v>
      </c>
      <c r="U14" s="185" t="s">
        <v>428</v>
      </c>
      <c r="V14" s="173" t="str">
        <f>IF(OR(W14="Preventivo",W14="Detectivo"),"Probabilidad",IF(W14="Correctivo","Impacto",""))</f>
        <v>Probabilidad</v>
      </c>
      <c r="W14" s="174" t="s">
        <v>14</v>
      </c>
      <c r="X14" s="174" t="s">
        <v>9</v>
      </c>
      <c r="Y14" s="175" t="str">
        <f t="shared" si="0"/>
        <v>40%</v>
      </c>
      <c r="Z14" s="174" t="s">
        <v>19</v>
      </c>
      <c r="AA14" s="174" t="s">
        <v>22</v>
      </c>
      <c r="AB14" s="174" t="s">
        <v>119</v>
      </c>
      <c r="AC14" s="176">
        <f>IFERROR(IF(AND(V13="Probabilidad",V14="Probabilidad"),(AE13-(+AE13*Y14)),IF(AND(V13="Impacto",V14="Probabilidad"),(AE12-(+AE12*Y14)),IF(V14="Impacto",AE13,""))),"")</f>
        <v>0.18</v>
      </c>
      <c r="AD14" s="177" t="str">
        <f t="shared" si="1"/>
        <v>Muy Baja</v>
      </c>
      <c r="AE14" s="178">
        <f t="shared" si="2"/>
        <v>0.18</v>
      </c>
      <c r="AF14" s="177" t="str">
        <f t="shared" si="3"/>
        <v>Moderado</v>
      </c>
      <c r="AG14" s="178">
        <f>IFERROR(IF(AND(V13="Impacto",V14="Impacto"),(AG13-(+AG13*Y14)),IF(AND(V13="Probabilidad",V14="Impacto"),(AG12-(+AG12*Y14)),IF(V14="Probabilidad",AG13,""))),"")</f>
        <v>0.6</v>
      </c>
      <c r="AH14" s="179" t="str">
        <f t="shared" si="4"/>
        <v>Moderado</v>
      </c>
      <c r="AI14" s="198" t="s">
        <v>32</v>
      </c>
      <c r="AJ14" s="352"/>
      <c r="AK14" s="360"/>
      <c r="AL14" s="364"/>
      <c r="AM14" s="364"/>
      <c r="AN14" s="355"/>
      <c r="AO14" s="362"/>
      <c r="AP14" s="352"/>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row>
    <row r="15" spans="1:73" s="170" customFormat="1" ht="15" x14ac:dyDescent="0.2">
      <c r="A15" s="389"/>
      <c r="B15" s="334"/>
      <c r="C15" s="334"/>
      <c r="D15" s="331"/>
      <c r="E15" s="331"/>
      <c r="F15" s="331"/>
      <c r="G15" s="358"/>
      <c r="H15" s="358"/>
      <c r="I15" s="394"/>
      <c r="J15" s="324"/>
      <c r="K15" s="331"/>
      <c r="L15" s="332"/>
      <c r="M15" s="327"/>
      <c r="N15" s="326"/>
      <c r="O15" s="333"/>
      <c r="P15" s="326">
        <f>IF(NOT(ISERROR(MATCH(O15,_xlfn.ANCHORARRAY(I26),0))),N28&amp;"Por favor no seleccionar los criterios de impacto",O15)</f>
        <v>0</v>
      </c>
      <c r="Q15" s="327"/>
      <c r="R15" s="326"/>
      <c r="S15" s="339"/>
      <c r="T15" s="172">
        <v>4</v>
      </c>
      <c r="U15" s="182"/>
      <c r="V15" s="173" t="str">
        <f t="shared" ref="V15:V17" si="5">IF(OR(W15="Preventivo",W15="Detectivo"),"Probabilidad",IF(W15="Correctivo","Impacto",""))</f>
        <v/>
      </c>
      <c r="W15" s="174"/>
      <c r="X15" s="174"/>
      <c r="Y15" s="175" t="str">
        <f t="shared" si="0"/>
        <v/>
      </c>
      <c r="Z15" s="174"/>
      <c r="AA15" s="174"/>
      <c r="AB15" s="174"/>
      <c r="AC15" s="176" t="str">
        <f t="shared" ref="AC15:AC17" si="6">IFERROR(IF(AND(V14="Probabilidad",V15="Probabilidad"),(AE14-(+AE14*Y15)),IF(AND(V14="Impacto",V15="Probabilidad"),(AE13-(+AE13*Y15)),IF(V15="Impacto",AE14,""))),"")</f>
        <v/>
      </c>
      <c r="AD15" s="177" t="str">
        <f t="shared" si="1"/>
        <v/>
      </c>
      <c r="AE15" s="178" t="str">
        <f t="shared" si="2"/>
        <v/>
      </c>
      <c r="AF15" s="177" t="str">
        <f t="shared" si="3"/>
        <v/>
      </c>
      <c r="AG15" s="178" t="str">
        <f t="shared" ref="AG15:AG17" si="7">IFERROR(IF(AND(V14="Impacto",V15="Impacto"),(AG14-(+AG14*Y15)),IF(AND(V14="Probabilidad",V15="Impacto"),(AG13-(+AG13*Y15)),IF(V15="Probabilidad",AG14,""))),"")</f>
        <v/>
      </c>
      <c r="AH15" s="179" t="str">
        <f>IFERROR(IF(OR(AND(AD15="Muy Baja",AF15="Leve"),AND(AD15="Muy Baja",AF15="Menor"),AND(AD15="Baja",AF15="Leve")),"Bajo",IF(OR(AND(AD15="Muy baja",AF15="Moderado"),AND(AD15="Baja",AF15="Menor"),AND(AD15="Baja",AF15="Moderado"),AND(AD15="Media",AF15="Leve"),AND(AD15="Media",AF15="Menor"),AND(AD15="Media",AF15="Moderado"),AND(AD15="Alta",AF15="Leve"),AND(AD15="Alta",AF15="Menor")),"Moderado",IF(OR(AND(AD15="Muy Baja",AF15="Mayor"),AND(AD15="Baja",AF15="Mayor"),AND(AD15="Media",AF15="Mayor"),AND(AD15="Alta",AF15="Moderado"),AND(AD15="Alta",AF15="Mayor"),AND(AD15="Muy Alta",AF15="Leve"),AND(AD15="Muy Alta",AF15="Menor"),AND(AD15="Muy Alta",AF15="Moderado"),AND(AD15="Muy Alta",AF15="Mayor")),"Alto",IF(OR(AND(AD15="Muy Baja",AF15="Catastrófico"),AND(AD15="Baja",AF15="Catastrófico"),AND(AD15="Media",AF15="Catastrófico"),AND(AD15="Alta",AF15="Catastrófico"),AND(AD15="Muy Alta",AF15="Catastrófico")),"Extremo","")))),"")</f>
        <v/>
      </c>
      <c r="AI15" s="198"/>
      <c r="AJ15" s="352"/>
      <c r="AK15" s="360"/>
      <c r="AL15" s="364"/>
      <c r="AM15" s="364"/>
      <c r="AN15" s="355"/>
      <c r="AO15" s="362"/>
      <c r="AP15" s="352"/>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row>
    <row r="16" spans="1:73" s="170" customFormat="1" ht="15" x14ac:dyDescent="0.2">
      <c r="A16" s="389"/>
      <c r="B16" s="334"/>
      <c r="C16" s="334"/>
      <c r="D16" s="331"/>
      <c r="E16" s="331"/>
      <c r="F16" s="331"/>
      <c r="G16" s="358"/>
      <c r="H16" s="358"/>
      <c r="I16" s="394"/>
      <c r="J16" s="324"/>
      <c r="K16" s="331"/>
      <c r="L16" s="332"/>
      <c r="M16" s="327"/>
      <c r="N16" s="326"/>
      <c r="O16" s="333"/>
      <c r="P16" s="326">
        <f>IF(NOT(ISERROR(MATCH(O16,_xlfn.ANCHORARRAY(I27),0))),N29&amp;"Por favor no seleccionar los criterios de impacto",O16)</f>
        <v>0</v>
      </c>
      <c r="Q16" s="327"/>
      <c r="R16" s="326"/>
      <c r="S16" s="339"/>
      <c r="T16" s="172">
        <v>5</v>
      </c>
      <c r="U16" s="182"/>
      <c r="V16" s="173" t="str">
        <f t="shared" si="5"/>
        <v/>
      </c>
      <c r="W16" s="174"/>
      <c r="X16" s="174"/>
      <c r="Y16" s="175" t="str">
        <f t="shared" si="0"/>
        <v/>
      </c>
      <c r="Z16" s="174"/>
      <c r="AA16" s="174"/>
      <c r="AB16" s="174"/>
      <c r="AC16" s="176" t="str">
        <f t="shared" si="6"/>
        <v/>
      </c>
      <c r="AD16" s="177" t="str">
        <f t="shared" si="1"/>
        <v/>
      </c>
      <c r="AE16" s="178" t="str">
        <f t="shared" si="2"/>
        <v/>
      </c>
      <c r="AF16" s="177" t="str">
        <f t="shared" si="3"/>
        <v/>
      </c>
      <c r="AG16" s="178" t="str">
        <f t="shared" si="7"/>
        <v/>
      </c>
      <c r="AH16" s="179" t="str">
        <f t="shared" si="4"/>
        <v/>
      </c>
      <c r="AI16" s="198"/>
      <c r="AJ16" s="352"/>
      <c r="AK16" s="360"/>
      <c r="AL16" s="364"/>
      <c r="AM16" s="364"/>
      <c r="AN16" s="355"/>
      <c r="AO16" s="362"/>
      <c r="AP16" s="352"/>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row>
    <row r="17" spans="1:73" s="170" customFormat="1" ht="15" x14ac:dyDescent="0.2">
      <c r="A17" s="389"/>
      <c r="B17" s="334"/>
      <c r="C17" s="334"/>
      <c r="D17" s="331"/>
      <c r="E17" s="331"/>
      <c r="F17" s="331"/>
      <c r="G17" s="359"/>
      <c r="H17" s="359"/>
      <c r="I17" s="394"/>
      <c r="J17" s="325"/>
      <c r="K17" s="331"/>
      <c r="L17" s="332"/>
      <c r="M17" s="327"/>
      <c r="N17" s="326"/>
      <c r="O17" s="333"/>
      <c r="P17" s="326">
        <f>IF(NOT(ISERROR(MATCH(O17,_xlfn.ANCHORARRAY(I28),0))),N30&amp;"Por favor no seleccionar los criterios de impacto",O17)</f>
        <v>0</v>
      </c>
      <c r="Q17" s="327"/>
      <c r="R17" s="326"/>
      <c r="S17" s="339"/>
      <c r="T17" s="172">
        <v>6</v>
      </c>
      <c r="U17" s="182"/>
      <c r="V17" s="173" t="str">
        <f t="shared" si="5"/>
        <v/>
      </c>
      <c r="W17" s="174"/>
      <c r="X17" s="174"/>
      <c r="Y17" s="175" t="str">
        <f t="shared" si="0"/>
        <v/>
      </c>
      <c r="Z17" s="174"/>
      <c r="AA17" s="174"/>
      <c r="AB17" s="174"/>
      <c r="AC17" s="176" t="str">
        <f t="shared" si="6"/>
        <v/>
      </c>
      <c r="AD17" s="177" t="str">
        <f t="shared" si="1"/>
        <v/>
      </c>
      <c r="AE17" s="178" t="str">
        <f t="shared" si="2"/>
        <v/>
      </c>
      <c r="AF17" s="177" t="str">
        <f t="shared" si="3"/>
        <v/>
      </c>
      <c r="AG17" s="178" t="str">
        <f t="shared" si="7"/>
        <v/>
      </c>
      <c r="AH17" s="179" t="str">
        <f t="shared" si="4"/>
        <v/>
      </c>
      <c r="AI17" s="198"/>
      <c r="AJ17" s="353"/>
      <c r="AK17" s="360"/>
      <c r="AL17" s="364"/>
      <c r="AM17" s="364"/>
      <c r="AN17" s="356"/>
      <c r="AO17" s="363"/>
      <c r="AP17" s="353"/>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row>
    <row r="18" spans="1:73" s="170" customFormat="1" ht="100.5" customHeight="1" x14ac:dyDescent="0.2">
      <c r="A18" s="389">
        <v>2</v>
      </c>
      <c r="B18" s="334" t="s">
        <v>232</v>
      </c>
      <c r="C18" s="334" t="s">
        <v>418</v>
      </c>
      <c r="D18" s="331" t="s">
        <v>133</v>
      </c>
      <c r="E18" s="331" t="s">
        <v>382</v>
      </c>
      <c r="F18" s="390" t="s">
        <v>383</v>
      </c>
      <c r="G18" s="341" t="s">
        <v>384</v>
      </c>
      <c r="H18" s="340" t="s">
        <v>447</v>
      </c>
      <c r="I18" s="338" t="s">
        <v>385</v>
      </c>
      <c r="J18" s="338" t="s">
        <v>386</v>
      </c>
      <c r="K18" s="331" t="s">
        <v>123</v>
      </c>
      <c r="L18" s="332">
        <v>1311</v>
      </c>
      <c r="M18" s="327" t="str">
        <f>IF(L18&lt;=0,"",IF(L18&lt;=2,"Muy Baja",IF(L18&lt;=24,"Baja",IF(L18&lt;=500,"Media",IF(L18&lt;=5000,"Alta","Muy Alta")))))</f>
        <v>Alta</v>
      </c>
      <c r="N18" s="326">
        <f>IF(M18="","",IF(M18="Muy Baja",0.2,IF(M18="Baja",0.4,IF(M18="Media",0.6,IF(M18="Alta",0.8,IF(M18="Muy Alta",1,))))))</f>
        <v>0.8</v>
      </c>
      <c r="O18" s="333" t="s">
        <v>150</v>
      </c>
      <c r="P18" s="326" t="str">
        <f>IF(NOT(ISERROR(MATCH(O18,'Tabla Impacto'!$B$221:$B$223,0))),'Tabla Impacto'!$F$223&amp;"Por favor no seleccionar los criterios de impacto(Afectación Económica o presupuestal y Pérdida Reputacional)",O18)</f>
        <v xml:space="preserve">     Mayor a 500 SMLMV </v>
      </c>
      <c r="Q18" s="327" t="str">
        <f>IF(OR(P18='Tabla Impacto'!$C$11,P18='Tabla Impacto'!$D$11),"Leve",IF(OR(P18='Tabla Impacto'!$C$12,P18='Tabla Impacto'!$D$12),"Menor",IF(OR(P18='Tabla Impacto'!$C$13,P18='Tabla Impacto'!$D$13),"Moderado",IF(OR(P18='Tabla Impacto'!$C$14,P18='Tabla Impacto'!$D$14),"Mayor",IF(OR(P18='Tabla Impacto'!$C$15,P18='Tabla Impacto'!$D$15),"Catastrófico","")))))</f>
        <v>Catastrófico</v>
      </c>
      <c r="R18" s="326">
        <f>IF(Q18="","",IF(Q18="Leve",0.2,IF(Q18="Menor",0.4,IF(Q18="Moderado",0.6,IF(Q18="Mayor",0.8,IF(Q18="Catastrófico",1,))))))</f>
        <v>1</v>
      </c>
      <c r="S18" s="339" t="str">
        <f>IF(OR(AND(M18="Muy Baja",Q18="Leve"),AND(M18="Muy Baja",Q18="Menor"),AND(M18="Baja",Q18="Leve")),"Bajo",IF(OR(AND(M18="Muy baja",Q18="Moderado"),AND(M18="Baja",Q18="Menor"),AND(M18="Baja",Q18="Moderado"),AND(M18="Media",Q18="Leve"),AND(M18="Media",Q18="Menor"),AND(M18="Media",Q18="Moderado"),AND(M18="Alta",Q18="Leve"),AND(M18="Alta",Q18="Menor")),"Moderado",IF(OR(AND(M18="Muy Baja",Q18="Mayor"),AND(M18="Baja",Q18="Mayor"),AND(M18="Media",Q18="Mayor"),AND(M18="Alta",Q18="Moderado"),AND(M18="Alta",Q18="Mayor"),AND(M18="Muy Alta",Q18="Leve"),AND(M18="Muy Alta",Q18="Menor"),AND(M18="Muy Alta",Q18="Moderado"),AND(M18="Muy Alta",Q18="Mayor")),"Alto",IF(OR(AND(M18="Muy Baja",Q18="Catastrófico"),AND(M18="Baja",Q18="Catastrófico"),AND(M18="Media",Q18="Catastrófico"),AND(M18="Alta",Q18="Catastrófico"),AND(M18="Muy Alta",Q18="Catastrófico")),"Extremo",""))))</f>
        <v>Extremo</v>
      </c>
      <c r="T18" s="172">
        <v>1</v>
      </c>
      <c r="U18" s="195" t="s">
        <v>419</v>
      </c>
      <c r="V18" s="173" t="str">
        <f>IF(OR(W18="Preventivo",W18="Detectivo"),"Probabilidad",IF(W18="Correctivo","Impacto",""))</f>
        <v>Probabilidad</v>
      </c>
      <c r="W18" s="196" t="s">
        <v>14</v>
      </c>
      <c r="X18" s="196" t="s">
        <v>10</v>
      </c>
      <c r="Y18" s="175" t="str">
        <f>IF(AND(W18="Preventivo",X18="Automático"),"50%",IF(AND(W18="Preventivo",X18="Manual"),"40%",IF(AND(W18="Detectivo",X18="Automático"),"40%",IF(AND(W18="Detectivo",X18="Manual"),"30%",IF(AND(W18="Correctivo",X18="Automático"),"35%",IF(AND(W18="Correctivo",X18="Manual"),"25%",""))))))</f>
        <v>50%</v>
      </c>
      <c r="Z18" s="196" t="s">
        <v>19</v>
      </c>
      <c r="AA18" s="196" t="s">
        <v>22</v>
      </c>
      <c r="AB18" s="196" t="s">
        <v>119</v>
      </c>
      <c r="AC18" s="176">
        <f>IFERROR(IF(V18="Probabilidad",(N18-(+N18*Y18)),IF(V18="Impacto",N18,"")),"")</f>
        <v>0.4</v>
      </c>
      <c r="AD18" s="177" t="str">
        <f>IFERROR(IF(AC18="","",IF(AC18&lt;=0.2,"Muy Baja",IF(AC18&lt;=0.4,"Baja",IF(AC18&lt;=0.6,"Media",IF(AC18&lt;=0.8,"Alta","Muy Alta"))))),"")</f>
        <v>Baja</v>
      </c>
      <c r="AE18" s="178">
        <f>+AC18</f>
        <v>0.4</v>
      </c>
      <c r="AF18" s="177" t="str">
        <f>IFERROR(IF(AG18="","",IF(AG18&lt;=0.2,"Leve",IF(AG18&lt;=0.4,"Menor",IF(AG18&lt;=0.6,"Moderado",IF(AG18&lt;=0.8,"Mayor","Catastrófico"))))),"")</f>
        <v>Catastrófico</v>
      </c>
      <c r="AG18" s="178">
        <f>IFERROR(IF(V18="Impacto",(R18-(+R18*Y18)),IF(V18="Probabilidad",R18,"")),"")</f>
        <v>1</v>
      </c>
      <c r="AH18" s="179" t="str">
        <f>IFERROR(IF(OR(AND(AD18="Muy Baja",AF18="Leve"),AND(AD18="Muy Baja",AF18="Menor"),AND(AD18="Baja",AF18="Leve")),"Bajo",IF(OR(AND(AD18="Muy baja",AF18="Moderado"),AND(AD18="Baja",AF18="Menor"),AND(AD18="Baja",AF18="Moderado"),AND(AD18="Media",AF18="Leve"),AND(AD18="Media",AF18="Menor"),AND(AD18="Media",AF18="Moderado"),AND(AD18="Alta",AF18="Leve"),AND(AD18="Alta",AF18="Menor")),"Moderado",IF(OR(AND(AD18="Muy Baja",AF18="Mayor"),AND(AD18="Baja",AF18="Mayor"),AND(AD18="Media",AF18="Mayor"),AND(AD18="Alta",AF18="Moderado"),AND(AD18="Alta",AF18="Mayor"),AND(AD18="Muy Alta",AF18="Leve"),AND(AD18="Muy Alta",AF18="Menor"),AND(AD18="Muy Alta",AF18="Moderado"),AND(AD18="Muy Alta",AF18="Mayor")),"Alto",IF(OR(AND(AD18="Muy Baja",AF18="Catastrófico"),AND(AD18="Baja",AF18="Catastrófico"),AND(AD18="Media",AF18="Catastrófico"),AND(AD18="Alta",AF18="Catastrófico"),AND(AD18="Muy Alta",AF18="Catastrófico")),"Extremo","")))),"")</f>
        <v>Extremo</v>
      </c>
      <c r="AI18" s="202" t="s">
        <v>135</v>
      </c>
      <c r="AJ18" s="351" t="s">
        <v>449</v>
      </c>
      <c r="AK18" s="361" t="s">
        <v>293</v>
      </c>
      <c r="AL18" s="366">
        <v>44928</v>
      </c>
      <c r="AM18" s="369" t="s">
        <v>441</v>
      </c>
      <c r="AN18" s="354" t="s">
        <v>220</v>
      </c>
      <c r="AO18" s="354" t="s">
        <v>420</v>
      </c>
      <c r="AP18" s="351" t="s">
        <v>439</v>
      </c>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row>
    <row r="19" spans="1:73" s="170" customFormat="1" ht="94.5" customHeight="1" x14ac:dyDescent="0.2">
      <c r="A19" s="389"/>
      <c r="B19" s="334"/>
      <c r="C19" s="334"/>
      <c r="D19" s="331"/>
      <c r="E19" s="331"/>
      <c r="F19" s="390"/>
      <c r="G19" s="342"/>
      <c r="H19" s="340"/>
      <c r="I19" s="338"/>
      <c r="J19" s="338"/>
      <c r="K19" s="331"/>
      <c r="L19" s="332"/>
      <c r="M19" s="327"/>
      <c r="N19" s="326"/>
      <c r="O19" s="333"/>
      <c r="P19" s="326">
        <f>IF(NOT(ISERROR(MATCH(O19,_xlfn.ANCHORARRAY(I30),0))),N32&amp;"Por favor no seleccionar los criterios de impacto",O19)</f>
        <v>0</v>
      </c>
      <c r="Q19" s="327"/>
      <c r="R19" s="326"/>
      <c r="S19" s="339"/>
      <c r="T19" s="172">
        <v>2</v>
      </c>
      <c r="U19" s="195" t="s">
        <v>387</v>
      </c>
      <c r="V19" s="173" t="str">
        <f>IF(OR(W19="Preventivo",W19="Detectivo"),"Probabilidad",IF(W19="Correctivo","Impacto",""))</f>
        <v>Probabilidad</v>
      </c>
      <c r="W19" s="196" t="s">
        <v>14</v>
      </c>
      <c r="X19" s="196" t="s">
        <v>10</v>
      </c>
      <c r="Y19" s="175" t="str">
        <f t="shared" ref="Y19:Y23" si="8">IF(AND(W19="Preventivo",X19="Automático"),"50%",IF(AND(W19="Preventivo",X19="Manual"),"40%",IF(AND(W19="Detectivo",X19="Automático"),"40%",IF(AND(W19="Detectivo",X19="Manual"),"30%",IF(AND(W19="Correctivo",X19="Automático"),"35%",IF(AND(W19="Correctivo",X19="Manual"),"25%",""))))))</f>
        <v>50%</v>
      </c>
      <c r="Z19" s="196" t="s">
        <v>19</v>
      </c>
      <c r="AA19" s="196" t="s">
        <v>22</v>
      </c>
      <c r="AB19" s="196" t="s">
        <v>119</v>
      </c>
      <c r="AC19" s="176">
        <f>IFERROR(IF(AND(V18="Probabilidad",V19="Probabilidad"),(AE18-(+AE18*Y19)),IF(V19="Probabilidad",(N18-(+N18*Y19)),IF(V19="Impacto",AE18,""))),"")</f>
        <v>0.2</v>
      </c>
      <c r="AD19" s="177" t="str">
        <f t="shared" si="1"/>
        <v>Muy Baja</v>
      </c>
      <c r="AE19" s="178">
        <f t="shared" ref="AE19:AE23" si="9">+AC19</f>
        <v>0.2</v>
      </c>
      <c r="AF19" s="177" t="str">
        <f t="shared" si="3"/>
        <v>Catastrófico</v>
      </c>
      <c r="AG19" s="178">
        <f>IFERROR(IF(AND(V18="Impacto",V19="Impacto"),(AG18-(+AG18*Y19)),IF(V19="Impacto",(R18-(+R18*Y19)),IF(V19="Probabilidad",AG18,""))),"")</f>
        <v>1</v>
      </c>
      <c r="AH19" s="179" t="str">
        <f t="shared" ref="AH19:AH20" si="10">IFERROR(IF(OR(AND(AD19="Muy Baja",AF19="Leve"),AND(AD19="Muy Baja",AF19="Menor"),AND(AD19="Baja",AF19="Leve")),"Bajo",IF(OR(AND(AD19="Muy baja",AF19="Moderado"),AND(AD19="Baja",AF19="Menor"),AND(AD19="Baja",AF19="Moderado"),AND(AD19="Media",AF19="Leve"),AND(AD19="Media",AF19="Menor"),AND(AD19="Media",AF19="Moderado"),AND(AD19="Alta",AF19="Leve"),AND(AD19="Alta",AF19="Menor")),"Moderado",IF(OR(AND(AD19="Muy Baja",AF19="Mayor"),AND(AD19="Baja",AF19="Mayor"),AND(AD19="Media",AF19="Mayor"),AND(AD19="Alta",AF19="Moderado"),AND(AD19="Alta",AF19="Mayor"),AND(AD19="Muy Alta",AF19="Leve"),AND(AD19="Muy Alta",AF19="Menor"),AND(AD19="Muy Alta",AF19="Moderado"),AND(AD19="Muy Alta",AF19="Mayor")),"Alto",IF(OR(AND(AD19="Muy Baja",AF19="Catastrófico"),AND(AD19="Baja",AF19="Catastrófico"),AND(AD19="Media",AF19="Catastrófico"),AND(AD19="Alta",AF19="Catastrófico"),AND(AD19="Muy Alta",AF19="Catastrófico")),"Extremo","")))),"")</f>
        <v>Extremo</v>
      </c>
      <c r="AI19" s="202" t="s">
        <v>135</v>
      </c>
      <c r="AJ19" s="352"/>
      <c r="AK19" s="362"/>
      <c r="AL19" s="367"/>
      <c r="AM19" s="367"/>
      <c r="AN19" s="355"/>
      <c r="AO19" s="355"/>
      <c r="AP19" s="352"/>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row>
    <row r="20" spans="1:73" s="170" customFormat="1" ht="137.25" customHeight="1" x14ac:dyDescent="0.2">
      <c r="A20" s="389"/>
      <c r="B20" s="334"/>
      <c r="C20" s="334"/>
      <c r="D20" s="331"/>
      <c r="E20" s="331"/>
      <c r="F20" s="390"/>
      <c r="G20" s="342"/>
      <c r="H20" s="340"/>
      <c r="I20" s="338"/>
      <c r="J20" s="338"/>
      <c r="K20" s="331"/>
      <c r="L20" s="332"/>
      <c r="M20" s="327"/>
      <c r="N20" s="326"/>
      <c r="O20" s="333"/>
      <c r="P20" s="326">
        <f>IF(NOT(ISERROR(MATCH(O20,_xlfn.ANCHORARRAY(I31),0))),N33&amp;"Por favor no seleccionar los criterios de impacto",O20)</f>
        <v>0</v>
      </c>
      <c r="Q20" s="327"/>
      <c r="R20" s="326"/>
      <c r="S20" s="339"/>
      <c r="T20" s="172">
        <v>3</v>
      </c>
      <c r="U20" s="195" t="s">
        <v>388</v>
      </c>
      <c r="V20" s="173" t="str">
        <f>IF(OR(W20="Preventivo",W20="Detectivo"),"Probabilidad",IF(W20="Correctivo","Impacto",""))</f>
        <v>Probabilidad</v>
      </c>
      <c r="W20" s="196" t="s">
        <v>15</v>
      </c>
      <c r="X20" s="196" t="s">
        <v>10</v>
      </c>
      <c r="Y20" s="175" t="str">
        <f t="shared" si="8"/>
        <v>40%</v>
      </c>
      <c r="Z20" s="196" t="s">
        <v>19</v>
      </c>
      <c r="AA20" s="196" t="s">
        <v>22</v>
      </c>
      <c r="AB20" s="196" t="s">
        <v>119</v>
      </c>
      <c r="AC20" s="176">
        <f>IFERROR(IF(AND(V19="Probabilidad",V20="Probabilidad"),(AE19-(+AE19*Y20)),IF(AND(V19="Impacto",V20="Probabilidad"),(AE18-(+AE18*Y20)),IF(V20="Impacto",AE19,""))),"")</f>
        <v>0.12</v>
      </c>
      <c r="AD20" s="177" t="str">
        <f t="shared" si="1"/>
        <v>Muy Baja</v>
      </c>
      <c r="AE20" s="178">
        <f t="shared" si="9"/>
        <v>0.12</v>
      </c>
      <c r="AF20" s="177" t="str">
        <f t="shared" si="3"/>
        <v>Catastrófico</v>
      </c>
      <c r="AG20" s="178">
        <f>IFERROR(IF(AND(V19="Impacto",V20="Impacto"),(AG19-(+AG19*Y20)),IF(AND(V19="Probabilidad",V20="Impacto"),(AG18-(+AG18*Y20)),IF(V20="Probabilidad",AG19,""))),"")</f>
        <v>1</v>
      </c>
      <c r="AH20" s="179" t="str">
        <f t="shared" si="10"/>
        <v>Extremo</v>
      </c>
      <c r="AI20" s="202" t="s">
        <v>135</v>
      </c>
      <c r="AJ20" s="352"/>
      <c r="AK20" s="362"/>
      <c r="AL20" s="367"/>
      <c r="AM20" s="367"/>
      <c r="AN20" s="355"/>
      <c r="AO20" s="355"/>
      <c r="AP20" s="352"/>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row>
    <row r="21" spans="1:73" s="170" customFormat="1" ht="102" customHeight="1" x14ac:dyDescent="0.2">
      <c r="A21" s="389"/>
      <c r="B21" s="334"/>
      <c r="C21" s="334"/>
      <c r="D21" s="331"/>
      <c r="E21" s="331"/>
      <c r="F21" s="390"/>
      <c r="G21" s="342"/>
      <c r="H21" s="340"/>
      <c r="I21" s="338"/>
      <c r="J21" s="338"/>
      <c r="K21" s="331"/>
      <c r="L21" s="332"/>
      <c r="M21" s="327"/>
      <c r="N21" s="326"/>
      <c r="O21" s="333"/>
      <c r="P21" s="326">
        <f>IF(NOT(ISERROR(MATCH(O21,_xlfn.ANCHORARRAY(I32),0))),N34&amp;"Por favor no seleccionar los criterios de impacto",O21)</f>
        <v>0</v>
      </c>
      <c r="Q21" s="327"/>
      <c r="R21" s="326"/>
      <c r="S21" s="339"/>
      <c r="T21" s="172">
        <v>4</v>
      </c>
      <c r="U21" s="195" t="s">
        <v>448</v>
      </c>
      <c r="V21" s="173" t="str">
        <f t="shared" ref="V21:V23" si="11">IF(OR(W21="Preventivo",W21="Detectivo"),"Probabilidad",IF(W21="Correctivo","Impacto",""))</f>
        <v>Impacto</v>
      </c>
      <c r="W21" s="196" t="s">
        <v>16</v>
      </c>
      <c r="X21" s="196" t="s">
        <v>10</v>
      </c>
      <c r="Y21" s="175" t="str">
        <f t="shared" si="8"/>
        <v>35%</v>
      </c>
      <c r="Z21" s="196" t="s">
        <v>19</v>
      </c>
      <c r="AA21" s="196" t="s">
        <v>22</v>
      </c>
      <c r="AB21" s="196" t="s">
        <v>119</v>
      </c>
      <c r="AC21" s="176">
        <f t="shared" ref="AC21:AC23" si="12">IFERROR(IF(AND(V20="Probabilidad",V21="Probabilidad"),(AE20-(+AE20*Y21)),IF(AND(V20="Impacto",V21="Probabilidad"),(AE19-(+AE19*Y21)),IF(V21="Impacto",AE20,""))),"")</f>
        <v>0.12</v>
      </c>
      <c r="AD21" s="177" t="str">
        <f t="shared" si="1"/>
        <v>Muy Baja</v>
      </c>
      <c r="AE21" s="178">
        <f t="shared" si="9"/>
        <v>0.12</v>
      </c>
      <c r="AF21" s="177" t="str">
        <f t="shared" si="3"/>
        <v>Mayor</v>
      </c>
      <c r="AG21" s="178">
        <f t="shared" ref="AG21:AG23" si="13">IFERROR(IF(AND(V20="Impacto",V21="Impacto"),(AG20-(+AG20*Y21)),IF(AND(V20="Probabilidad",V21="Impacto"),(AG19-(+AG19*Y21)),IF(V21="Probabilidad",AG20,""))),"")</f>
        <v>0.65</v>
      </c>
      <c r="AH21" s="179" t="str">
        <f>IFERROR(IF(OR(AND(AD21="Muy Baja",AF21="Leve"),AND(AD21="Muy Baja",AF21="Menor"),AND(AD21="Baja",AF21="Leve")),"Bajo",IF(OR(AND(AD21="Muy baja",AF21="Moderado"),AND(AD21="Baja",AF21="Menor"),AND(AD21="Baja",AF21="Moderado"),AND(AD21="Media",AF21="Leve"),AND(AD21="Media",AF21="Menor"),AND(AD21="Media",AF21="Moderado"),AND(AD21="Alta",AF21="Leve"),AND(AD21="Alta",AF21="Menor")),"Moderado",IF(OR(AND(AD21="Muy Baja",AF21="Mayor"),AND(AD21="Baja",AF21="Mayor"),AND(AD21="Media",AF21="Mayor"),AND(AD21="Alta",AF21="Moderado"),AND(AD21="Alta",AF21="Mayor"),AND(AD21="Muy Alta",AF21="Leve"),AND(AD21="Muy Alta",AF21="Menor"),AND(AD21="Muy Alta",AF21="Moderado"),AND(AD21="Muy Alta",AF21="Mayor")),"Alto",IF(OR(AND(AD21="Muy Baja",AF21="Catastrófico"),AND(AD21="Baja",AF21="Catastrófico"),AND(AD21="Media",AF21="Catastrófico"),AND(AD21="Alta",AF21="Catastrófico"),AND(AD21="Muy Alta",AF21="Catastrófico")),"Extremo","")))),"")</f>
        <v>Alto</v>
      </c>
      <c r="AI21" s="202" t="s">
        <v>135</v>
      </c>
      <c r="AJ21" s="352"/>
      <c r="AK21" s="362"/>
      <c r="AL21" s="367"/>
      <c r="AM21" s="367"/>
      <c r="AN21" s="355"/>
      <c r="AO21" s="355"/>
      <c r="AP21" s="352"/>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row>
    <row r="22" spans="1:73" s="170" customFormat="1" ht="15" x14ac:dyDescent="0.2">
      <c r="A22" s="389"/>
      <c r="B22" s="334"/>
      <c r="C22" s="334"/>
      <c r="D22" s="331"/>
      <c r="E22" s="331"/>
      <c r="F22" s="390"/>
      <c r="G22" s="342"/>
      <c r="H22" s="340"/>
      <c r="I22" s="338"/>
      <c r="J22" s="338"/>
      <c r="K22" s="331"/>
      <c r="L22" s="332"/>
      <c r="M22" s="327"/>
      <c r="N22" s="326"/>
      <c r="O22" s="333"/>
      <c r="P22" s="326">
        <f>IF(NOT(ISERROR(MATCH(O22,_xlfn.ANCHORARRAY(I33),0))),N35&amp;"Por favor no seleccionar los criterios de impacto",O22)</f>
        <v>0</v>
      </c>
      <c r="Q22" s="327"/>
      <c r="R22" s="326"/>
      <c r="S22" s="339"/>
      <c r="T22" s="172">
        <v>5</v>
      </c>
      <c r="U22" s="182"/>
      <c r="V22" s="173" t="str">
        <f t="shared" si="11"/>
        <v/>
      </c>
      <c r="W22" s="174"/>
      <c r="X22" s="174"/>
      <c r="Y22" s="175" t="str">
        <f t="shared" si="8"/>
        <v/>
      </c>
      <c r="Z22" s="174"/>
      <c r="AA22" s="174"/>
      <c r="AB22" s="174"/>
      <c r="AC22" s="176" t="str">
        <f t="shared" si="12"/>
        <v/>
      </c>
      <c r="AD22" s="177" t="str">
        <f t="shared" si="1"/>
        <v/>
      </c>
      <c r="AE22" s="178" t="str">
        <f t="shared" si="9"/>
        <v/>
      </c>
      <c r="AF22" s="177" t="str">
        <f t="shared" si="3"/>
        <v/>
      </c>
      <c r="AG22" s="178" t="str">
        <f t="shared" si="13"/>
        <v/>
      </c>
      <c r="AH22" s="179" t="str">
        <f t="shared" ref="AH22:AH23" si="14">IFERROR(IF(OR(AND(AD22="Muy Baja",AF22="Leve"),AND(AD22="Muy Baja",AF22="Menor"),AND(AD22="Baja",AF22="Leve")),"Bajo",IF(OR(AND(AD22="Muy baja",AF22="Moderado"),AND(AD22="Baja",AF22="Menor"),AND(AD22="Baja",AF22="Moderado"),AND(AD22="Media",AF22="Leve"),AND(AD22="Media",AF22="Menor"),AND(AD22="Media",AF22="Moderado"),AND(AD22="Alta",AF22="Leve"),AND(AD22="Alta",AF22="Menor")),"Moderado",IF(OR(AND(AD22="Muy Baja",AF22="Mayor"),AND(AD22="Baja",AF22="Mayor"),AND(AD22="Media",AF22="Mayor"),AND(AD22="Alta",AF22="Moderado"),AND(AD22="Alta",AF22="Mayor"),AND(AD22="Muy Alta",AF22="Leve"),AND(AD22="Muy Alta",AF22="Menor"),AND(AD22="Muy Alta",AF22="Moderado"),AND(AD22="Muy Alta",AF22="Mayor")),"Alto",IF(OR(AND(AD22="Muy Baja",AF22="Catastrófico"),AND(AD22="Baja",AF22="Catastrófico"),AND(AD22="Media",AF22="Catastrófico"),AND(AD22="Alta",AF22="Catastrófico"),AND(AD22="Muy Alta",AF22="Catastrófico")),"Extremo","")))),"")</f>
        <v/>
      </c>
      <c r="AI22" s="198"/>
      <c r="AJ22" s="352"/>
      <c r="AK22" s="362"/>
      <c r="AL22" s="367"/>
      <c r="AM22" s="367"/>
      <c r="AN22" s="355"/>
      <c r="AO22" s="355"/>
      <c r="AP22" s="352"/>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row>
    <row r="23" spans="1:73" s="170" customFormat="1" ht="15" x14ac:dyDescent="0.2">
      <c r="A23" s="389"/>
      <c r="B23" s="334"/>
      <c r="C23" s="334"/>
      <c r="D23" s="331"/>
      <c r="E23" s="331"/>
      <c r="F23" s="390"/>
      <c r="G23" s="343"/>
      <c r="H23" s="340"/>
      <c r="I23" s="338"/>
      <c r="J23" s="338"/>
      <c r="K23" s="331"/>
      <c r="L23" s="332"/>
      <c r="M23" s="327"/>
      <c r="N23" s="326"/>
      <c r="O23" s="333"/>
      <c r="P23" s="326">
        <f>IF(NOT(ISERROR(MATCH(O23,_xlfn.ANCHORARRAY(I34),0))),N36&amp;"Por favor no seleccionar los criterios de impacto",O23)</f>
        <v>0</v>
      </c>
      <c r="Q23" s="327"/>
      <c r="R23" s="326"/>
      <c r="S23" s="339"/>
      <c r="T23" s="172">
        <v>6</v>
      </c>
      <c r="U23" s="182"/>
      <c r="V23" s="173" t="str">
        <f t="shared" si="11"/>
        <v/>
      </c>
      <c r="W23" s="174"/>
      <c r="X23" s="174"/>
      <c r="Y23" s="175" t="str">
        <f t="shared" si="8"/>
        <v/>
      </c>
      <c r="Z23" s="174"/>
      <c r="AA23" s="174"/>
      <c r="AB23" s="174"/>
      <c r="AC23" s="176" t="str">
        <f t="shared" si="12"/>
        <v/>
      </c>
      <c r="AD23" s="177" t="str">
        <f t="shared" si="1"/>
        <v/>
      </c>
      <c r="AE23" s="178" t="str">
        <f t="shared" si="9"/>
        <v/>
      </c>
      <c r="AF23" s="177" t="str">
        <f t="shared" si="3"/>
        <v/>
      </c>
      <c r="AG23" s="178" t="str">
        <f t="shared" si="13"/>
        <v/>
      </c>
      <c r="AH23" s="179" t="str">
        <f t="shared" si="14"/>
        <v/>
      </c>
      <c r="AI23" s="198"/>
      <c r="AJ23" s="353"/>
      <c r="AK23" s="363"/>
      <c r="AL23" s="368"/>
      <c r="AM23" s="368"/>
      <c r="AN23" s="356"/>
      <c r="AO23" s="356"/>
      <c r="AP23" s="353"/>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row>
    <row r="24" spans="1:73" s="170" customFormat="1" ht="114.75" customHeight="1" x14ac:dyDescent="0.2">
      <c r="A24" s="389">
        <v>3</v>
      </c>
      <c r="B24" s="334" t="s">
        <v>232</v>
      </c>
      <c r="C24" s="334" t="s">
        <v>245</v>
      </c>
      <c r="D24" s="331" t="s">
        <v>133</v>
      </c>
      <c r="E24" s="390" t="s">
        <v>389</v>
      </c>
      <c r="F24" s="390" t="s">
        <v>390</v>
      </c>
      <c r="G24" s="344" t="s">
        <v>451</v>
      </c>
      <c r="H24" s="340" t="s">
        <v>452</v>
      </c>
      <c r="I24" s="394" t="s">
        <v>453</v>
      </c>
      <c r="J24" s="323" t="s">
        <v>450</v>
      </c>
      <c r="K24" s="331" t="s">
        <v>123</v>
      </c>
      <c r="L24" s="332">
        <v>21000</v>
      </c>
      <c r="M24" s="327" t="str">
        <f>IF(L24&lt;=0,"",IF(L24&lt;=2,"Muy Baja",IF(L24&lt;=24,"Baja",IF(L24&lt;=500,"Media",IF(L24&lt;=5000,"Alta","Muy Alta")))))</f>
        <v>Muy Alta</v>
      </c>
      <c r="N24" s="326">
        <f>IF(M24="","",IF(M24="Muy Baja",0.2,IF(M24="Baja",0.4,IF(M24="Media",0.6,IF(M24="Alta",0.8,IF(M24="Muy Alta",1,))))))</f>
        <v>1</v>
      </c>
      <c r="O24" s="333" t="s">
        <v>150</v>
      </c>
      <c r="P24" s="326" t="str">
        <f>IF(NOT(ISERROR(MATCH(O24,'Tabla Impacto'!$B$221:$B$223,0))),'Tabla Impacto'!$F$223&amp;"Por favor no seleccionar los criterios de impacto(Afectación Económica o presupuestal y Pérdida Reputacional)",O24)</f>
        <v xml:space="preserve">     Mayor a 500 SMLMV </v>
      </c>
      <c r="Q24" s="327" t="str">
        <f>IF(OR(P24='Tabla Impacto'!$C$11,P24='Tabla Impacto'!$D$11),"Leve",IF(OR(P24='Tabla Impacto'!$C$12,P24='Tabla Impacto'!$D$12),"Menor",IF(OR(P24='Tabla Impacto'!$C$13,P24='Tabla Impacto'!$D$13),"Moderado",IF(OR(P24='Tabla Impacto'!$C$14,P24='Tabla Impacto'!$D$14),"Mayor",IF(OR(P24='Tabla Impacto'!$C$15,P24='Tabla Impacto'!$D$15),"Catastrófico","")))))</f>
        <v>Catastrófico</v>
      </c>
      <c r="R24" s="326">
        <f>IF(Q24="","",IF(Q24="Leve",0.2,IF(Q24="Menor",0.4,IF(Q24="Moderado",0.6,IF(Q24="Mayor",0.8,IF(Q24="Catastrófico",1,))))))</f>
        <v>1</v>
      </c>
      <c r="S24" s="339" t="str">
        <f>IF(OR(AND(M24="Muy Baja",Q24="Leve"),AND(M24="Muy Baja",Q24="Menor"),AND(M24="Baja",Q24="Leve")),"Bajo",IF(OR(AND(M24="Muy baja",Q24="Moderado"),AND(M24="Baja",Q24="Menor"),AND(M24="Baja",Q24="Moderado"),AND(M24="Media",Q24="Leve"),AND(M24="Media",Q24="Menor"),AND(M24="Media",Q24="Moderado"),AND(M24="Alta",Q24="Leve"),AND(M24="Alta",Q24="Menor")),"Moderado",IF(OR(AND(M24="Muy Baja",Q24="Mayor"),AND(M24="Baja",Q24="Mayor"),AND(M24="Media",Q24="Mayor"),AND(M24="Alta",Q24="Moderado"),AND(M24="Alta",Q24="Mayor"),AND(M24="Muy Alta",Q24="Leve"),AND(M24="Muy Alta",Q24="Menor"),AND(M24="Muy Alta",Q24="Moderado"),AND(M24="Muy Alta",Q24="Mayor")),"Alto",IF(OR(AND(M24="Muy Baja",Q24="Catastrófico"),AND(M24="Baja",Q24="Catastrófico"),AND(M24="Media",Q24="Catastrófico"),AND(M24="Alta",Q24="Catastrófico"),AND(M24="Muy Alta",Q24="Catastrófico")),"Extremo",""))))</f>
        <v>Extremo</v>
      </c>
      <c r="T24" s="172">
        <v>1</v>
      </c>
      <c r="U24" s="193" t="s">
        <v>446</v>
      </c>
      <c r="V24" s="173" t="str">
        <f>IF(OR(W24="Preventivo",W24="Detectivo"),"Probabilidad",IF(W24="Correctivo","Impacto",""))</f>
        <v>Probabilidad</v>
      </c>
      <c r="W24" s="174" t="s">
        <v>14</v>
      </c>
      <c r="X24" s="174" t="s">
        <v>9</v>
      </c>
      <c r="Y24" s="175" t="str">
        <f>IF(AND(W24="Preventivo",X24="Automático"),"50%",IF(AND(W24="Preventivo",X24="Manual"),"40%",IF(AND(W24="Detectivo",X24="Automático"),"40%",IF(AND(W24="Detectivo",X24="Manual"),"30%",IF(AND(W24="Correctivo",X24="Automático"),"35%",IF(AND(W24="Correctivo",X24="Manual"),"25%",""))))))</f>
        <v>40%</v>
      </c>
      <c r="Z24" s="174" t="s">
        <v>19</v>
      </c>
      <c r="AA24" s="174" t="s">
        <v>22</v>
      </c>
      <c r="AB24" s="174" t="s">
        <v>119</v>
      </c>
      <c r="AC24" s="183">
        <f>IFERROR(IF(V24="Probabilidad",(N24-(+N24*Y24)),IF(V24="Impacto",N24,"")),"")</f>
        <v>0.6</v>
      </c>
      <c r="AD24" s="177" t="str">
        <f>IFERROR(IF(AC24="","",IF(AC24&lt;=0.2,"Muy Baja",IF(AC24&lt;=0.4,"Baja",IF(AC24&lt;=0.6,"Media",IF(AC24&lt;=0.8,"Alta","Muy Alta"))))),"")</f>
        <v>Media</v>
      </c>
      <c r="AE24" s="178">
        <f>+AC24</f>
        <v>0.6</v>
      </c>
      <c r="AF24" s="177" t="str">
        <f>IFERROR(IF(AG24="","",IF(AG24&lt;=0.2,"Leve",IF(AG24&lt;=0.4,"Menor",IF(AG24&lt;=0.6,"Moderado",IF(AG24&lt;=0.8,"Mayor","Catastrófico"))))),"")</f>
        <v>Catastrófico</v>
      </c>
      <c r="AG24" s="178">
        <f>IFERROR(IF(V24="Impacto",(R24-(+R24*Y24)),IF(V24="Probabilidad",R24,"")),"")</f>
        <v>1</v>
      </c>
      <c r="AH24" s="179" t="str">
        <f>IFERROR(IF(OR(AND(AD24="Muy Baja",AF24="Leve"),AND(AD24="Muy Baja",AF24="Menor"),AND(AD24="Baja",AF24="Leve")),"Bajo",IF(OR(AND(AD24="Muy baja",AF24="Moderado"),AND(AD24="Baja",AF24="Menor"),AND(AD24="Baja",AF24="Moderado"),AND(AD24="Media",AF24="Leve"),AND(AD24="Media",AF24="Menor"),AND(AD24="Media",AF24="Moderado"),AND(AD24="Alta",AF24="Leve"),AND(AD24="Alta",AF24="Menor")),"Moderado",IF(OR(AND(AD24="Muy Baja",AF24="Mayor"),AND(AD24="Baja",AF24="Mayor"),AND(AD24="Media",AF24="Mayor"),AND(AD24="Alta",AF24="Moderado"),AND(AD24="Alta",AF24="Mayor"),AND(AD24="Muy Alta",AF24="Leve"),AND(AD24="Muy Alta",AF24="Menor"),AND(AD24="Muy Alta",AF24="Moderado"),AND(AD24="Muy Alta",AF24="Mayor")),"Alto",IF(OR(AND(AD24="Muy Baja",AF24="Catastrófico"),AND(AD24="Baja",AF24="Catastrófico"),AND(AD24="Media",AF24="Catastrófico"),AND(AD24="Alta",AF24="Catastrófico"),AND(AD24="Muy Alta",AF24="Catastrófico")),"Extremo","")))),"")</f>
        <v>Extremo</v>
      </c>
      <c r="AI24" s="198" t="s">
        <v>135</v>
      </c>
      <c r="AJ24" s="409" t="s">
        <v>484</v>
      </c>
      <c r="AK24" s="347" t="s">
        <v>301</v>
      </c>
      <c r="AL24" s="348">
        <v>44928</v>
      </c>
      <c r="AM24" s="350" t="s">
        <v>441</v>
      </c>
      <c r="AN24" s="407" t="s">
        <v>220</v>
      </c>
      <c r="AO24" s="406" t="s">
        <v>420</v>
      </c>
      <c r="AP24" s="397" t="s">
        <v>442</v>
      </c>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row>
    <row r="25" spans="1:73" s="170" customFormat="1" ht="120" customHeight="1" x14ac:dyDescent="0.2">
      <c r="A25" s="389"/>
      <c r="B25" s="334"/>
      <c r="C25" s="334"/>
      <c r="D25" s="331"/>
      <c r="E25" s="390"/>
      <c r="F25" s="390"/>
      <c r="G25" s="345"/>
      <c r="H25" s="340"/>
      <c r="I25" s="394"/>
      <c r="J25" s="324"/>
      <c r="K25" s="331"/>
      <c r="L25" s="332"/>
      <c r="M25" s="327"/>
      <c r="N25" s="326"/>
      <c r="O25" s="333"/>
      <c r="P25" s="326">
        <f>IF(NOT(ISERROR(MATCH(O25,_xlfn.ANCHORARRAY(I36),0))),N38&amp;"Por favor no seleccionar los criterios de impacto",O25)</f>
        <v>0</v>
      </c>
      <c r="Q25" s="327"/>
      <c r="R25" s="326"/>
      <c r="S25" s="339"/>
      <c r="T25" s="172">
        <v>2</v>
      </c>
      <c r="U25" s="193" t="s">
        <v>445</v>
      </c>
      <c r="V25" s="173" t="str">
        <f>IF(OR(W25="Preventivo",W25="Detectivo"),"Probabilidad",IF(W25="Correctivo","Impacto",""))</f>
        <v>Probabilidad</v>
      </c>
      <c r="W25" s="174" t="s">
        <v>14</v>
      </c>
      <c r="X25" s="174" t="s">
        <v>10</v>
      </c>
      <c r="Y25" s="175" t="str">
        <f t="shared" ref="Y25:Y29" si="15">IF(AND(W25="Preventivo",X25="Automático"),"50%",IF(AND(W25="Preventivo",X25="Manual"),"40%",IF(AND(W25="Detectivo",X25="Automático"),"40%",IF(AND(W25="Detectivo",X25="Manual"),"30%",IF(AND(W25="Correctivo",X25="Automático"),"35%",IF(AND(W25="Correctivo",X25="Manual"),"25%",""))))))</f>
        <v>50%</v>
      </c>
      <c r="Z25" s="174" t="s">
        <v>19</v>
      </c>
      <c r="AA25" s="174" t="s">
        <v>22</v>
      </c>
      <c r="AB25" s="174" t="s">
        <v>119</v>
      </c>
      <c r="AC25" s="184">
        <f>IFERROR(IF(AND(V24="Probabilidad",V25="Probabilidad"),(AE24-(+AE24*Y25)),IF(V25="Probabilidad",(N24-(+N24*Y25)),IF(V25="Impacto",AE24,""))),"")</f>
        <v>0.3</v>
      </c>
      <c r="AD25" s="177" t="str">
        <f t="shared" si="1"/>
        <v>Baja</v>
      </c>
      <c r="AE25" s="178">
        <f t="shared" ref="AE25:AE29" si="16">+AC25</f>
        <v>0.3</v>
      </c>
      <c r="AF25" s="177" t="str">
        <f t="shared" si="3"/>
        <v>Catastrófico</v>
      </c>
      <c r="AG25" s="178">
        <f>IFERROR(IF(AND(V24="Impacto",V25="Impacto"),(AG24-(+AG24*Y25)),IF(V25="Impacto",(R24-(+R24*Y25)),IF(V25="Probabilidad",AG24,""))),"")</f>
        <v>1</v>
      </c>
      <c r="AH25" s="179" t="str">
        <f t="shared" ref="AH25:AH26" si="17">IFERROR(IF(OR(AND(AD25="Muy Baja",AF25="Leve"),AND(AD25="Muy Baja",AF25="Menor"),AND(AD25="Baja",AF25="Leve")),"Bajo",IF(OR(AND(AD25="Muy baja",AF25="Moderado"),AND(AD25="Baja",AF25="Menor"),AND(AD25="Baja",AF25="Moderado"),AND(AD25="Media",AF25="Leve"),AND(AD25="Media",AF25="Menor"),AND(AD25="Media",AF25="Moderado"),AND(AD25="Alta",AF25="Leve"),AND(AD25="Alta",AF25="Menor")),"Moderado",IF(OR(AND(AD25="Muy Baja",AF25="Mayor"),AND(AD25="Baja",AF25="Mayor"),AND(AD25="Media",AF25="Mayor"),AND(AD25="Alta",AF25="Moderado"),AND(AD25="Alta",AF25="Mayor"),AND(AD25="Muy Alta",AF25="Leve"),AND(AD25="Muy Alta",AF25="Menor"),AND(AD25="Muy Alta",AF25="Moderado"),AND(AD25="Muy Alta",AF25="Mayor")),"Alto",IF(OR(AND(AD25="Muy Baja",AF25="Catastrófico"),AND(AD25="Baja",AF25="Catastrófico"),AND(AD25="Media",AF25="Catastrófico"),AND(AD25="Alta",AF25="Catastrófico"),AND(AD25="Muy Alta",AF25="Catastrófico")),"Extremo","")))),"")</f>
        <v>Extremo</v>
      </c>
      <c r="AI25" s="198" t="s">
        <v>135</v>
      </c>
      <c r="AJ25" s="400"/>
      <c r="AK25" s="319"/>
      <c r="AL25" s="349"/>
      <c r="AM25" s="349"/>
      <c r="AN25" s="408"/>
      <c r="AO25" s="406"/>
      <c r="AP25" s="398"/>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row>
    <row r="26" spans="1:73" s="170" customFormat="1" ht="105" customHeight="1" x14ac:dyDescent="0.2">
      <c r="A26" s="389"/>
      <c r="B26" s="334"/>
      <c r="C26" s="334"/>
      <c r="D26" s="331"/>
      <c r="E26" s="390"/>
      <c r="F26" s="390"/>
      <c r="G26" s="345"/>
      <c r="H26" s="340"/>
      <c r="I26" s="394"/>
      <c r="J26" s="324"/>
      <c r="K26" s="331"/>
      <c r="L26" s="332"/>
      <c r="M26" s="327"/>
      <c r="N26" s="326"/>
      <c r="O26" s="333"/>
      <c r="P26" s="326">
        <f>IF(NOT(ISERROR(MATCH(O26,_xlfn.ANCHORARRAY(I37),0))),N39&amp;"Por favor no seleccionar los criterios de impacto",O26)</f>
        <v>0</v>
      </c>
      <c r="Q26" s="327"/>
      <c r="R26" s="326"/>
      <c r="S26" s="339"/>
      <c r="T26" s="172">
        <v>3</v>
      </c>
      <c r="U26" s="193" t="s">
        <v>444</v>
      </c>
      <c r="V26" s="173" t="str">
        <f>IF(OR(W26="Preventivo",W26="Detectivo"),"Probabilidad",IF(W26="Correctivo","Impacto",""))</f>
        <v>Probabilidad</v>
      </c>
      <c r="W26" s="174" t="s">
        <v>15</v>
      </c>
      <c r="X26" s="174" t="s">
        <v>9</v>
      </c>
      <c r="Y26" s="175" t="str">
        <f t="shared" si="15"/>
        <v>30%</v>
      </c>
      <c r="Z26" s="174" t="s">
        <v>19</v>
      </c>
      <c r="AA26" s="174" t="s">
        <v>22</v>
      </c>
      <c r="AB26" s="174" t="s">
        <v>119</v>
      </c>
      <c r="AC26" s="176">
        <f>IFERROR(IF(AND(V25="Probabilidad",V26="Probabilidad"),(AE25-(+AE25*Y26)),IF(AND(V25="Impacto",V26="Probabilidad"),(AE24-(+AE24*Y26)),IF(V26="Impacto",AE25,""))),"")</f>
        <v>0.21</v>
      </c>
      <c r="AD26" s="177" t="str">
        <f t="shared" si="1"/>
        <v>Baja</v>
      </c>
      <c r="AE26" s="178">
        <f t="shared" si="16"/>
        <v>0.21</v>
      </c>
      <c r="AF26" s="177" t="str">
        <f t="shared" si="3"/>
        <v>Catastrófico</v>
      </c>
      <c r="AG26" s="178">
        <f>IFERROR(IF(AND(V25="Impacto",V26="Impacto"),(AG25-(+AG25*Y26)),IF(AND(V25="Probabilidad",V26="Impacto"),(AG24-(+AG24*Y26)),IF(V26="Probabilidad",AG25,""))),"")</f>
        <v>1</v>
      </c>
      <c r="AH26" s="179" t="str">
        <f t="shared" si="17"/>
        <v>Extremo</v>
      </c>
      <c r="AI26" s="198" t="s">
        <v>135</v>
      </c>
      <c r="AJ26" s="400"/>
      <c r="AK26" s="319"/>
      <c r="AL26" s="349"/>
      <c r="AM26" s="349"/>
      <c r="AN26" s="408"/>
      <c r="AO26" s="406"/>
      <c r="AP26" s="398"/>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row>
    <row r="27" spans="1:73" s="170" customFormat="1" ht="117.75" customHeight="1" x14ac:dyDescent="0.2">
      <c r="A27" s="389"/>
      <c r="B27" s="334"/>
      <c r="C27" s="334"/>
      <c r="D27" s="331"/>
      <c r="E27" s="390"/>
      <c r="F27" s="390"/>
      <c r="G27" s="345"/>
      <c r="H27" s="340"/>
      <c r="I27" s="394"/>
      <c r="J27" s="324"/>
      <c r="K27" s="331"/>
      <c r="L27" s="332"/>
      <c r="M27" s="327"/>
      <c r="N27" s="326"/>
      <c r="O27" s="333"/>
      <c r="P27" s="326">
        <f>IF(NOT(ISERROR(MATCH(O27,_xlfn.ANCHORARRAY(I38),0))),N40&amp;"Por favor no seleccionar los criterios de impacto",O27)</f>
        <v>0</v>
      </c>
      <c r="Q27" s="327"/>
      <c r="R27" s="326"/>
      <c r="S27" s="339"/>
      <c r="T27" s="172">
        <v>4</v>
      </c>
      <c r="U27" s="193" t="s">
        <v>443</v>
      </c>
      <c r="V27" s="173" t="str">
        <f t="shared" ref="V27:V29" si="18">IF(OR(W27="Preventivo",W27="Detectivo"),"Probabilidad",IF(W27="Correctivo","Impacto",""))</f>
        <v>Probabilidad</v>
      </c>
      <c r="W27" s="174" t="s">
        <v>15</v>
      </c>
      <c r="X27" s="174" t="s">
        <v>9</v>
      </c>
      <c r="Y27" s="175" t="str">
        <f t="shared" si="15"/>
        <v>30%</v>
      </c>
      <c r="Z27" s="174" t="s">
        <v>19</v>
      </c>
      <c r="AA27" s="174" t="s">
        <v>22</v>
      </c>
      <c r="AB27" s="174" t="s">
        <v>119</v>
      </c>
      <c r="AC27" s="176">
        <f t="shared" ref="AC27:AC29" si="19">IFERROR(IF(AND(V26="Probabilidad",V27="Probabilidad"),(AE26-(+AE26*Y27)),IF(AND(V26="Impacto",V27="Probabilidad"),(AE25-(+AE25*Y27)),IF(V27="Impacto",AE26,""))),"")</f>
        <v>0.14699999999999999</v>
      </c>
      <c r="AD27" s="177" t="str">
        <f t="shared" si="1"/>
        <v>Muy Baja</v>
      </c>
      <c r="AE27" s="178">
        <f t="shared" si="16"/>
        <v>0.14699999999999999</v>
      </c>
      <c r="AF27" s="177" t="str">
        <f t="shared" si="3"/>
        <v>Catastrófico</v>
      </c>
      <c r="AG27" s="178">
        <f t="shared" ref="AG27:AG29" si="20">IFERROR(IF(AND(V26="Impacto",V27="Impacto"),(AG26-(+AG26*Y27)),IF(AND(V26="Probabilidad",V27="Impacto"),(AG25-(+AG25*Y27)),IF(V27="Probabilidad",AG26,""))),"")</f>
        <v>1</v>
      </c>
      <c r="AH27" s="179" t="str">
        <f>IFERROR(IF(OR(AND(AD27="Muy Baja",AF27="Leve"),AND(AD27="Muy Baja",AF27="Menor"),AND(AD27="Baja",AF27="Leve")),"Bajo",IF(OR(AND(AD27="Muy baja",AF27="Moderado"),AND(AD27="Baja",AF27="Menor"),AND(AD27="Baja",AF27="Moderado"),AND(AD27="Media",AF27="Leve"),AND(AD27="Media",AF27="Menor"),AND(AD27="Media",AF27="Moderado"),AND(AD27="Alta",AF27="Leve"),AND(AD27="Alta",AF27="Menor")),"Moderado",IF(OR(AND(AD27="Muy Baja",AF27="Mayor"),AND(AD27="Baja",AF27="Mayor"),AND(AD27="Media",AF27="Mayor"),AND(AD27="Alta",AF27="Moderado"),AND(AD27="Alta",AF27="Mayor"),AND(AD27="Muy Alta",AF27="Leve"),AND(AD27="Muy Alta",AF27="Menor"),AND(AD27="Muy Alta",AF27="Moderado"),AND(AD27="Muy Alta",AF27="Mayor")),"Alto",IF(OR(AND(AD27="Muy Baja",AF27="Catastrófico"),AND(AD27="Baja",AF27="Catastrófico"),AND(AD27="Media",AF27="Catastrófico"),AND(AD27="Alta",AF27="Catastrófico"),AND(AD27="Muy Alta",AF27="Catastrófico")),"Extremo","")))),"")</f>
        <v>Extremo</v>
      </c>
      <c r="AI27" s="198" t="s">
        <v>135</v>
      </c>
      <c r="AJ27" s="400"/>
      <c r="AK27" s="319"/>
      <c r="AL27" s="349"/>
      <c r="AM27" s="349"/>
      <c r="AN27" s="408"/>
      <c r="AO27" s="406"/>
      <c r="AP27" s="398"/>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row>
    <row r="28" spans="1:73" s="170" customFormat="1" ht="121.5" customHeight="1" x14ac:dyDescent="0.2">
      <c r="A28" s="389"/>
      <c r="B28" s="334"/>
      <c r="C28" s="334"/>
      <c r="D28" s="331"/>
      <c r="E28" s="390"/>
      <c r="F28" s="390"/>
      <c r="G28" s="345"/>
      <c r="H28" s="340"/>
      <c r="I28" s="394"/>
      <c r="J28" s="324"/>
      <c r="K28" s="331"/>
      <c r="L28" s="332"/>
      <c r="M28" s="327"/>
      <c r="N28" s="326"/>
      <c r="O28" s="333"/>
      <c r="P28" s="326">
        <f>IF(NOT(ISERROR(MATCH(O28,_xlfn.ANCHORARRAY(I39),0))),N41&amp;"Por favor no seleccionar los criterios de impacto",O28)</f>
        <v>0</v>
      </c>
      <c r="Q28" s="327"/>
      <c r="R28" s="326"/>
      <c r="S28" s="339"/>
      <c r="T28" s="172">
        <v>5</v>
      </c>
      <c r="U28" s="193" t="s">
        <v>463</v>
      </c>
      <c r="V28" s="173" t="str">
        <f t="shared" si="18"/>
        <v>Impacto</v>
      </c>
      <c r="W28" s="174" t="s">
        <v>16</v>
      </c>
      <c r="X28" s="174" t="s">
        <v>9</v>
      </c>
      <c r="Y28" s="175" t="str">
        <f t="shared" si="15"/>
        <v>25%</v>
      </c>
      <c r="Z28" s="174" t="s">
        <v>19</v>
      </c>
      <c r="AA28" s="174" t="s">
        <v>22</v>
      </c>
      <c r="AB28" s="174" t="s">
        <v>119</v>
      </c>
      <c r="AC28" s="176">
        <f t="shared" si="19"/>
        <v>0.14699999999999999</v>
      </c>
      <c r="AD28" s="177" t="str">
        <f t="shared" si="1"/>
        <v>Muy Baja</v>
      </c>
      <c r="AE28" s="178">
        <f t="shared" si="16"/>
        <v>0.14699999999999999</v>
      </c>
      <c r="AF28" s="177" t="str">
        <f t="shared" si="3"/>
        <v>Mayor</v>
      </c>
      <c r="AG28" s="178">
        <f t="shared" si="20"/>
        <v>0.75</v>
      </c>
      <c r="AH28" s="179" t="str">
        <f t="shared" ref="AH28:AH29" si="21">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Alto</v>
      </c>
      <c r="AI28" s="198" t="s">
        <v>135</v>
      </c>
      <c r="AJ28" s="400"/>
      <c r="AK28" s="319"/>
      <c r="AL28" s="349"/>
      <c r="AM28" s="349"/>
      <c r="AN28" s="408"/>
      <c r="AO28" s="406"/>
      <c r="AP28" s="398"/>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row>
    <row r="29" spans="1:73" s="170" customFormat="1" ht="15" x14ac:dyDescent="0.2">
      <c r="A29" s="389"/>
      <c r="B29" s="334"/>
      <c r="C29" s="334"/>
      <c r="D29" s="331"/>
      <c r="E29" s="390"/>
      <c r="F29" s="390"/>
      <c r="G29" s="346"/>
      <c r="H29" s="340"/>
      <c r="I29" s="394"/>
      <c r="J29" s="325"/>
      <c r="K29" s="331"/>
      <c r="L29" s="332"/>
      <c r="M29" s="327"/>
      <c r="N29" s="326"/>
      <c r="O29" s="333"/>
      <c r="P29" s="326">
        <f>IF(NOT(ISERROR(MATCH(O29,_xlfn.ANCHORARRAY(I40),0))),N42&amp;"Por favor no seleccionar los criterios de impacto",O29)</f>
        <v>0</v>
      </c>
      <c r="Q29" s="327"/>
      <c r="R29" s="326"/>
      <c r="S29" s="339"/>
      <c r="T29" s="172">
        <v>6</v>
      </c>
      <c r="U29" s="182"/>
      <c r="V29" s="173" t="str">
        <f t="shared" si="18"/>
        <v/>
      </c>
      <c r="W29" s="174"/>
      <c r="X29" s="174"/>
      <c r="Y29" s="175" t="str">
        <f t="shared" si="15"/>
        <v/>
      </c>
      <c r="Z29" s="174"/>
      <c r="AA29" s="174"/>
      <c r="AB29" s="174"/>
      <c r="AC29" s="176" t="str">
        <f t="shared" si="19"/>
        <v/>
      </c>
      <c r="AD29" s="177" t="str">
        <f t="shared" si="1"/>
        <v/>
      </c>
      <c r="AE29" s="178" t="str">
        <f t="shared" si="16"/>
        <v/>
      </c>
      <c r="AF29" s="177" t="str">
        <f t="shared" si="3"/>
        <v/>
      </c>
      <c r="AG29" s="178" t="str">
        <f t="shared" si="20"/>
        <v/>
      </c>
      <c r="AH29" s="179" t="str">
        <f t="shared" si="21"/>
        <v/>
      </c>
      <c r="AI29" s="198"/>
      <c r="AJ29" s="400"/>
      <c r="AK29" s="319"/>
      <c r="AL29" s="349"/>
      <c r="AM29" s="349"/>
      <c r="AN29" s="408"/>
      <c r="AO29" s="407"/>
      <c r="AP29" s="398"/>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row>
    <row r="30" spans="1:73" s="170" customFormat="1" ht="111.75" customHeight="1" x14ac:dyDescent="0.2">
      <c r="A30" s="389">
        <v>4</v>
      </c>
      <c r="B30" s="334" t="s">
        <v>232</v>
      </c>
      <c r="C30" s="334" t="s">
        <v>245</v>
      </c>
      <c r="D30" s="331" t="s">
        <v>132</v>
      </c>
      <c r="E30" s="331" t="s">
        <v>391</v>
      </c>
      <c r="F30" s="331" t="s">
        <v>392</v>
      </c>
      <c r="G30" s="341" t="s">
        <v>455</v>
      </c>
      <c r="H30" s="341" t="s">
        <v>456</v>
      </c>
      <c r="I30" s="338" t="s">
        <v>454</v>
      </c>
      <c r="J30" s="316" t="s">
        <v>393</v>
      </c>
      <c r="K30" s="331" t="s">
        <v>123</v>
      </c>
      <c r="L30" s="332">
        <v>1000</v>
      </c>
      <c r="M30" s="327" t="str">
        <f>IF(L30&lt;=0,"",IF(L30&lt;=2,"Muy Baja",IF(L30&lt;=24,"Baja",IF(L30&lt;=500,"Media",IF(L30&lt;=5000,"Alta","Muy Alta")))))</f>
        <v>Alta</v>
      </c>
      <c r="N30" s="326">
        <f>IF(M30="","",IF(M30="Muy Baja",0.2,IF(M30="Baja",0.4,IF(M30="Media",0.6,IF(M30="Alta",0.8,IF(M30="Muy Alta",1,))))))</f>
        <v>0.8</v>
      </c>
      <c r="O30" s="333" t="s">
        <v>149</v>
      </c>
      <c r="P30" s="326" t="str">
        <f>IF(NOT(ISERROR(MATCH(O30,'Tabla Impacto'!$B$221:$B$223,0))),'Tabla Impacto'!$F$223&amp;"Por favor no seleccionar los criterios de impacto(Afectación Económica o presupuestal y Pérdida Reputacional)",O30)</f>
        <v xml:space="preserve">     Entre 100 y 500 SMLMV </v>
      </c>
      <c r="Q30" s="327" t="str">
        <f>IF(OR(P30='Tabla Impacto'!$C$11,P30='Tabla Impacto'!$D$11),"Leve",IF(OR(P30='Tabla Impacto'!$C$12,P30='Tabla Impacto'!$D$12),"Menor",IF(OR(P30='Tabla Impacto'!$C$13,P30='Tabla Impacto'!$D$13),"Moderado",IF(OR(P30='Tabla Impacto'!$C$14,P30='Tabla Impacto'!$D$14),"Mayor",IF(OR(P30='Tabla Impacto'!$C$15,P30='Tabla Impacto'!$D$15),"Catastrófico","")))))</f>
        <v>Mayor</v>
      </c>
      <c r="R30" s="326">
        <f>IF(Q30="","",IF(Q30="Leve",0.2,IF(Q30="Menor",0.4,IF(Q30="Moderado",0.6,IF(Q30="Mayor",0.8,IF(Q30="Catastrófico",1,))))))</f>
        <v>0.8</v>
      </c>
      <c r="S30" s="339" t="str">
        <f>IF(OR(AND(M30="Muy Baja",Q30="Leve"),AND(M30="Muy Baja",Q30="Menor"),AND(M30="Baja",Q30="Leve")),"Bajo",IF(OR(AND(M30="Muy baja",Q30="Moderado"),AND(M30="Baja",Q30="Menor"),AND(M30="Baja",Q30="Moderado"),AND(M30="Media",Q30="Leve"),AND(M30="Media",Q30="Menor"),AND(M30="Media",Q30="Moderado"),AND(M30="Alta",Q30="Leve"),AND(M30="Alta",Q30="Menor")),"Moderado",IF(OR(AND(M30="Muy Baja",Q30="Mayor"),AND(M30="Baja",Q30="Mayor"),AND(M30="Media",Q30="Mayor"),AND(M30="Alta",Q30="Moderado"),AND(M30="Alta",Q30="Mayor"),AND(M30="Muy Alta",Q30="Leve"),AND(M30="Muy Alta",Q30="Menor"),AND(M30="Muy Alta",Q30="Moderado"),AND(M30="Muy Alta",Q30="Mayor")),"Alto",IF(OR(AND(M30="Muy Baja",Q30="Catastrófico"),AND(M30="Baja",Q30="Catastrófico"),AND(M30="Media",Q30="Catastrófico"),AND(M30="Alta",Q30="Catastrófico"),AND(M30="Muy Alta",Q30="Catastrófico")),"Extremo",""))))</f>
        <v>Alto</v>
      </c>
      <c r="T30" s="172">
        <v>1</v>
      </c>
      <c r="U30" s="193" t="s">
        <v>457</v>
      </c>
      <c r="V30" s="173" t="str">
        <f>IF(OR(W30="Preventivo",W30="Detectivo"),"Probabilidad",IF(W30="Correctivo","Impacto",""))</f>
        <v>Probabilidad</v>
      </c>
      <c r="W30" s="174" t="s">
        <v>14</v>
      </c>
      <c r="X30" s="174" t="s">
        <v>9</v>
      </c>
      <c r="Y30" s="175" t="str">
        <f>IF(AND(W30="Preventivo",X30="Automático"),"50%",IF(AND(W30="Preventivo",X30="Manual"),"40%",IF(AND(W30="Detectivo",X30="Automático"),"40%",IF(AND(W30="Detectivo",X30="Manual"),"30%",IF(AND(W30="Correctivo",X30="Automático"),"35%",IF(AND(W30="Correctivo",X30="Manual"),"25%",""))))))</f>
        <v>40%</v>
      </c>
      <c r="Z30" s="174" t="s">
        <v>19</v>
      </c>
      <c r="AA30" s="174" t="s">
        <v>22</v>
      </c>
      <c r="AB30" s="174" t="s">
        <v>119</v>
      </c>
      <c r="AC30" s="176">
        <f>IFERROR(IF(V30="Probabilidad",(N30-(+N30*Y30)),IF(V30="Impacto",N30,"")),"")</f>
        <v>0.48</v>
      </c>
      <c r="AD30" s="177" t="str">
        <f>IFERROR(IF(AC30="","",IF(AC30&lt;=0.2,"Muy Baja",IF(AC30&lt;=0.4,"Baja",IF(AC30&lt;=0.6,"Media",IF(AC30&lt;=0.8,"Alta","Muy Alta"))))),"")</f>
        <v>Media</v>
      </c>
      <c r="AE30" s="178">
        <f>+AC30</f>
        <v>0.48</v>
      </c>
      <c r="AF30" s="177" t="str">
        <f>IFERROR(IF(AG30="","",IF(AG30&lt;=0.2,"Leve",IF(AG30&lt;=0.4,"Menor",IF(AG30&lt;=0.6,"Moderado",IF(AG30&lt;=0.8,"Mayor","Catastrófico"))))),"")</f>
        <v>Mayor</v>
      </c>
      <c r="AG30" s="178">
        <f>IFERROR(IF(V30="Impacto",(R30-(+R30*Y30)),IF(V30="Probabilidad",R30,"")),"")</f>
        <v>0.8</v>
      </c>
      <c r="AH30" s="179" t="str">
        <f>IFERROR(IF(OR(AND(AD30="Muy Baja",AF30="Leve"),AND(AD30="Muy Baja",AF30="Menor"),AND(AD30="Baja",AF30="Leve")),"Bajo",IF(OR(AND(AD30="Muy baja",AF30="Moderado"),AND(AD30="Baja",AF30="Menor"),AND(AD30="Baja",AF30="Moderado"),AND(AD30="Media",AF30="Leve"),AND(AD30="Media",AF30="Menor"),AND(AD30="Media",AF30="Moderado"),AND(AD30="Alta",AF30="Leve"),AND(AD30="Alta",AF30="Menor")),"Moderado",IF(OR(AND(AD30="Muy Baja",AF30="Mayor"),AND(AD30="Baja",AF30="Mayor"),AND(AD30="Media",AF30="Mayor"),AND(AD30="Alta",AF30="Moderado"),AND(AD30="Alta",AF30="Mayor"),AND(AD30="Muy Alta",AF30="Leve"),AND(AD30="Muy Alta",AF30="Menor"),AND(AD30="Muy Alta",AF30="Moderado"),AND(AD30="Muy Alta",AF30="Mayor")),"Alto",IF(OR(AND(AD30="Muy Baja",AF30="Catastrófico"),AND(AD30="Baja",AF30="Catastrófico"),AND(AD30="Media",AF30="Catastrófico"),AND(AD30="Alta",AF30="Catastrófico"),AND(AD30="Muy Alta",AF30="Catastrófico")),"Extremo","")))),"")</f>
        <v>Alto</v>
      </c>
      <c r="AI30" s="198" t="s">
        <v>135</v>
      </c>
      <c r="AJ30" s="400" t="s">
        <v>461</v>
      </c>
      <c r="AK30" s="319" t="s">
        <v>301</v>
      </c>
      <c r="AL30" s="349">
        <v>44928</v>
      </c>
      <c r="AM30" s="413" t="s">
        <v>441</v>
      </c>
      <c r="AN30" s="408" t="s">
        <v>220</v>
      </c>
      <c r="AO30" s="405" t="s">
        <v>420</v>
      </c>
      <c r="AP30" s="399" t="s">
        <v>462</v>
      </c>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row>
    <row r="31" spans="1:73" s="170" customFormat="1" ht="113.25" customHeight="1" x14ac:dyDescent="0.2">
      <c r="A31" s="389"/>
      <c r="B31" s="334"/>
      <c r="C31" s="334"/>
      <c r="D31" s="331"/>
      <c r="E31" s="331"/>
      <c r="F31" s="331"/>
      <c r="G31" s="342"/>
      <c r="H31" s="342"/>
      <c r="I31" s="338"/>
      <c r="J31" s="317"/>
      <c r="K31" s="331"/>
      <c r="L31" s="332"/>
      <c r="M31" s="327"/>
      <c r="N31" s="326"/>
      <c r="O31" s="333"/>
      <c r="P31" s="326">
        <f>IF(NOT(ISERROR(MATCH(O31,_xlfn.ANCHORARRAY(I42),0))),N44&amp;"Por favor no seleccionar los criterios de impacto",O31)</f>
        <v>0</v>
      </c>
      <c r="Q31" s="327"/>
      <c r="R31" s="326"/>
      <c r="S31" s="339"/>
      <c r="T31" s="172">
        <v>2</v>
      </c>
      <c r="U31" s="193" t="s">
        <v>458</v>
      </c>
      <c r="V31" s="173" t="str">
        <f>IF(OR(W31="Preventivo",W31="Detectivo"),"Probabilidad",IF(W31="Correctivo","Impacto",""))</f>
        <v>Probabilidad</v>
      </c>
      <c r="W31" s="174" t="s">
        <v>14</v>
      </c>
      <c r="X31" s="174" t="s">
        <v>9</v>
      </c>
      <c r="Y31" s="175" t="str">
        <f t="shared" ref="Y31:Y35" si="22">IF(AND(W31="Preventivo",X31="Automático"),"50%",IF(AND(W31="Preventivo",X31="Manual"),"40%",IF(AND(W31="Detectivo",X31="Automático"),"40%",IF(AND(W31="Detectivo",X31="Manual"),"30%",IF(AND(W31="Correctivo",X31="Automático"),"35%",IF(AND(W31="Correctivo",X31="Manual"),"25%",""))))))</f>
        <v>40%</v>
      </c>
      <c r="Z31" s="174" t="s">
        <v>19</v>
      </c>
      <c r="AA31" s="174" t="s">
        <v>22</v>
      </c>
      <c r="AB31" s="174" t="s">
        <v>119</v>
      </c>
      <c r="AC31" s="176">
        <f>IFERROR(IF(AND(V30="Probabilidad",V31="Probabilidad"),(AE30-(+AE30*Y31)),IF(V31="Probabilidad",(N30-(+N30*Y31)),IF(V31="Impacto",AE30,""))),"")</f>
        <v>0.28799999999999998</v>
      </c>
      <c r="AD31" s="177" t="str">
        <f t="shared" si="1"/>
        <v>Baja</v>
      </c>
      <c r="AE31" s="178">
        <f t="shared" ref="AE31:AE35" si="23">+AC31</f>
        <v>0.28799999999999998</v>
      </c>
      <c r="AF31" s="177" t="str">
        <f t="shared" si="3"/>
        <v>Mayor</v>
      </c>
      <c r="AG31" s="178">
        <f>IFERROR(IF(AND(V30="Impacto",V31="Impacto"),(AG30-(+AG30*Y31)),IF(V31="Impacto",(R30-(+R30*Y31)),IF(V31="Probabilidad",AG30,""))),"")</f>
        <v>0.8</v>
      </c>
      <c r="AH31" s="179" t="str">
        <f t="shared" ref="AH31:AH32" si="24">IFERROR(IF(OR(AND(AD31="Muy Baja",AF31="Leve"),AND(AD31="Muy Baja",AF31="Menor"),AND(AD31="Baja",AF31="Leve")),"Bajo",IF(OR(AND(AD31="Muy baja",AF31="Moderado"),AND(AD31="Baja",AF31="Menor"),AND(AD31="Baja",AF31="Moderado"),AND(AD31="Media",AF31="Leve"),AND(AD31="Media",AF31="Menor"),AND(AD31="Media",AF31="Moderado"),AND(AD31="Alta",AF31="Leve"),AND(AD31="Alta",AF31="Menor")),"Moderado",IF(OR(AND(AD31="Muy Baja",AF31="Mayor"),AND(AD31="Baja",AF31="Mayor"),AND(AD31="Media",AF31="Mayor"),AND(AD31="Alta",AF31="Moderado"),AND(AD31="Alta",AF31="Mayor"),AND(AD31="Muy Alta",AF31="Leve"),AND(AD31="Muy Alta",AF31="Menor"),AND(AD31="Muy Alta",AF31="Moderado"),AND(AD31="Muy Alta",AF31="Mayor")),"Alto",IF(OR(AND(AD31="Muy Baja",AF31="Catastrófico"),AND(AD31="Baja",AF31="Catastrófico"),AND(AD31="Media",AF31="Catastrófico"),AND(AD31="Alta",AF31="Catastrófico"),AND(AD31="Muy Alta",AF31="Catastrófico")),"Extremo","")))),"")</f>
        <v>Alto</v>
      </c>
      <c r="AI31" s="198" t="s">
        <v>135</v>
      </c>
      <c r="AJ31" s="400"/>
      <c r="AK31" s="319"/>
      <c r="AL31" s="349"/>
      <c r="AM31" s="349"/>
      <c r="AN31" s="408"/>
      <c r="AO31" s="406"/>
      <c r="AP31" s="398"/>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row>
    <row r="32" spans="1:73" s="170" customFormat="1" ht="102.75" customHeight="1" x14ac:dyDescent="0.2">
      <c r="A32" s="389"/>
      <c r="B32" s="334"/>
      <c r="C32" s="334"/>
      <c r="D32" s="331"/>
      <c r="E32" s="331"/>
      <c r="F32" s="331"/>
      <c r="G32" s="342"/>
      <c r="H32" s="342"/>
      <c r="I32" s="338"/>
      <c r="J32" s="317"/>
      <c r="K32" s="331"/>
      <c r="L32" s="332"/>
      <c r="M32" s="327"/>
      <c r="N32" s="326"/>
      <c r="O32" s="333"/>
      <c r="P32" s="326">
        <f>IF(NOT(ISERROR(MATCH(O32,_xlfn.ANCHORARRAY(I43),0))),N45&amp;"Por favor no seleccionar los criterios de impacto",O32)</f>
        <v>0</v>
      </c>
      <c r="Q32" s="327"/>
      <c r="R32" s="326"/>
      <c r="S32" s="339"/>
      <c r="T32" s="172">
        <v>3</v>
      </c>
      <c r="U32" s="193" t="s">
        <v>459</v>
      </c>
      <c r="V32" s="173" t="str">
        <f>IF(OR(W32="Preventivo",W32="Detectivo"),"Probabilidad",IF(W32="Correctivo","Impacto",""))</f>
        <v>Probabilidad</v>
      </c>
      <c r="W32" s="174" t="s">
        <v>14</v>
      </c>
      <c r="X32" s="174" t="s">
        <v>9</v>
      </c>
      <c r="Y32" s="175" t="str">
        <f t="shared" si="22"/>
        <v>40%</v>
      </c>
      <c r="Z32" s="174" t="s">
        <v>19</v>
      </c>
      <c r="AA32" s="174" t="s">
        <v>22</v>
      </c>
      <c r="AB32" s="174" t="s">
        <v>119</v>
      </c>
      <c r="AC32" s="176">
        <f>IFERROR(IF(AND(V31="Probabilidad",V32="Probabilidad"),(AE31-(+AE31*Y32)),IF(AND(V31="Impacto",V32="Probabilidad"),(AE30-(+AE30*Y32)),IF(V32="Impacto",AE31,""))),"")</f>
        <v>0.17279999999999998</v>
      </c>
      <c r="AD32" s="177" t="str">
        <f t="shared" si="1"/>
        <v>Muy Baja</v>
      </c>
      <c r="AE32" s="178">
        <f t="shared" si="23"/>
        <v>0.17279999999999998</v>
      </c>
      <c r="AF32" s="177" t="str">
        <f t="shared" si="3"/>
        <v>Mayor</v>
      </c>
      <c r="AG32" s="178">
        <f>IFERROR(IF(AND(V31="Impacto",V32="Impacto"),(AG31-(+AG31*Y32)),IF(AND(V31="Probabilidad",V32="Impacto"),(AG30-(+AG30*Y32)),IF(V32="Probabilidad",AG31,""))),"")</f>
        <v>0.8</v>
      </c>
      <c r="AH32" s="179" t="str">
        <f t="shared" si="24"/>
        <v>Alto</v>
      </c>
      <c r="AI32" s="198" t="s">
        <v>135</v>
      </c>
      <c r="AJ32" s="400"/>
      <c r="AK32" s="319"/>
      <c r="AL32" s="349"/>
      <c r="AM32" s="349"/>
      <c r="AN32" s="408"/>
      <c r="AO32" s="406"/>
      <c r="AP32" s="398"/>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row>
    <row r="33" spans="1:73" s="170" customFormat="1" ht="105.75" customHeight="1" x14ac:dyDescent="0.2">
      <c r="A33" s="389"/>
      <c r="B33" s="334"/>
      <c r="C33" s="334"/>
      <c r="D33" s="331"/>
      <c r="E33" s="331"/>
      <c r="F33" s="331"/>
      <c r="G33" s="342"/>
      <c r="H33" s="342"/>
      <c r="I33" s="338"/>
      <c r="J33" s="317"/>
      <c r="K33" s="331"/>
      <c r="L33" s="332"/>
      <c r="M33" s="327"/>
      <c r="N33" s="326"/>
      <c r="O33" s="333"/>
      <c r="P33" s="326">
        <f>IF(NOT(ISERROR(MATCH(O33,_xlfn.ANCHORARRAY(I44),0))),N46&amp;"Por favor no seleccionar los criterios de impacto",O33)</f>
        <v>0</v>
      </c>
      <c r="Q33" s="327"/>
      <c r="R33" s="326"/>
      <c r="S33" s="339"/>
      <c r="T33" s="172">
        <v>4</v>
      </c>
      <c r="U33" s="193" t="s">
        <v>460</v>
      </c>
      <c r="V33" s="173" t="str">
        <f t="shared" ref="V33:V35" si="25">IF(OR(W33="Preventivo",W33="Detectivo"),"Probabilidad",IF(W33="Correctivo","Impacto",""))</f>
        <v>Impacto</v>
      </c>
      <c r="W33" s="174" t="s">
        <v>16</v>
      </c>
      <c r="X33" s="174" t="s">
        <v>9</v>
      </c>
      <c r="Y33" s="175" t="str">
        <f t="shared" si="22"/>
        <v>25%</v>
      </c>
      <c r="Z33" s="174" t="s">
        <v>19</v>
      </c>
      <c r="AA33" s="174" t="s">
        <v>22</v>
      </c>
      <c r="AB33" s="174" t="s">
        <v>119</v>
      </c>
      <c r="AC33" s="176">
        <f t="shared" ref="AC33:AC35" si="26">IFERROR(IF(AND(V32="Probabilidad",V33="Probabilidad"),(AE32-(+AE32*Y33)),IF(AND(V32="Impacto",V33="Probabilidad"),(AE31-(+AE31*Y33)),IF(V33="Impacto",AE32,""))),"")</f>
        <v>0.17279999999999998</v>
      </c>
      <c r="AD33" s="177" t="str">
        <f t="shared" si="1"/>
        <v>Muy Baja</v>
      </c>
      <c r="AE33" s="178">
        <f t="shared" si="23"/>
        <v>0.17279999999999998</v>
      </c>
      <c r="AF33" s="177" t="str">
        <f t="shared" si="3"/>
        <v>Moderado</v>
      </c>
      <c r="AG33" s="178">
        <f t="shared" ref="AG33:AG35" si="27">IFERROR(IF(AND(V32="Impacto",V33="Impacto"),(AG32-(+AG32*Y33)),IF(AND(V32="Probabilidad",V33="Impacto"),(AG31-(+AG31*Y33)),IF(V33="Probabilidad",AG32,""))),"")</f>
        <v>0.60000000000000009</v>
      </c>
      <c r="AH33" s="179" t="str">
        <f>IFERROR(IF(OR(AND(AD33="Muy Baja",AF33="Leve"),AND(AD33="Muy Baja",AF33="Menor"),AND(AD33="Baja",AF33="Leve")),"Bajo",IF(OR(AND(AD33="Muy baja",AF33="Moderado"),AND(AD33="Baja",AF33="Menor"),AND(AD33="Baja",AF33="Moderado"),AND(AD33="Media",AF33="Leve"),AND(AD33="Media",AF33="Menor"),AND(AD33="Media",AF33="Moderado"),AND(AD33="Alta",AF33="Leve"),AND(AD33="Alta",AF33="Menor")),"Moderado",IF(OR(AND(AD33="Muy Baja",AF33="Mayor"),AND(AD33="Baja",AF33="Mayor"),AND(AD33="Media",AF33="Mayor"),AND(AD33="Alta",AF33="Moderado"),AND(AD33="Alta",AF33="Mayor"),AND(AD33="Muy Alta",AF33="Leve"),AND(AD33="Muy Alta",AF33="Menor"),AND(AD33="Muy Alta",AF33="Moderado"),AND(AD33="Muy Alta",AF33="Mayor")),"Alto",IF(OR(AND(AD33="Muy Baja",AF33="Catastrófico"),AND(AD33="Baja",AF33="Catastrófico"),AND(AD33="Media",AF33="Catastrófico"),AND(AD33="Alta",AF33="Catastrófico"),AND(AD33="Muy Alta",AF33="Catastrófico")),"Extremo","")))),"")</f>
        <v>Moderado</v>
      </c>
      <c r="AI33" s="198" t="s">
        <v>135</v>
      </c>
      <c r="AJ33" s="400"/>
      <c r="AK33" s="319"/>
      <c r="AL33" s="349"/>
      <c r="AM33" s="349"/>
      <c r="AN33" s="408"/>
      <c r="AO33" s="406"/>
      <c r="AP33" s="398"/>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row>
    <row r="34" spans="1:73" s="170" customFormat="1" ht="15" x14ac:dyDescent="0.2">
      <c r="A34" s="389"/>
      <c r="B34" s="334"/>
      <c r="C34" s="334"/>
      <c r="D34" s="331"/>
      <c r="E34" s="331"/>
      <c r="F34" s="331"/>
      <c r="G34" s="342"/>
      <c r="H34" s="342"/>
      <c r="I34" s="338"/>
      <c r="J34" s="317"/>
      <c r="K34" s="331"/>
      <c r="L34" s="332"/>
      <c r="M34" s="327"/>
      <c r="N34" s="326"/>
      <c r="O34" s="333"/>
      <c r="P34" s="326">
        <f>IF(NOT(ISERROR(MATCH(O34,_xlfn.ANCHORARRAY(I45),0))),N47&amp;"Por favor no seleccionar los criterios de impacto",O34)</f>
        <v>0</v>
      </c>
      <c r="Q34" s="327"/>
      <c r="R34" s="326"/>
      <c r="S34" s="339"/>
      <c r="T34" s="172">
        <v>5</v>
      </c>
      <c r="U34" s="182"/>
      <c r="V34" s="173" t="str">
        <f t="shared" si="25"/>
        <v/>
      </c>
      <c r="W34" s="174"/>
      <c r="X34" s="174"/>
      <c r="Y34" s="175" t="str">
        <f t="shared" si="22"/>
        <v/>
      </c>
      <c r="Z34" s="174"/>
      <c r="AA34" s="174"/>
      <c r="AB34" s="174"/>
      <c r="AC34" s="186" t="str">
        <f t="shared" si="26"/>
        <v/>
      </c>
      <c r="AD34" s="177" t="str">
        <f>IFERROR(IF(AC34="","",IF(AC34&lt;=0.2,"Muy Baja",IF(AC34&lt;=0.4,"Baja",IF(AC34&lt;=0.6,"Media",IF(AC34&lt;=0.8,"Alta","Muy Alta"))))),"")</f>
        <v/>
      </c>
      <c r="AE34" s="178" t="str">
        <f t="shared" si="23"/>
        <v/>
      </c>
      <c r="AF34" s="177" t="str">
        <f t="shared" si="3"/>
        <v/>
      </c>
      <c r="AG34" s="178" t="str">
        <f t="shared" si="27"/>
        <v/>
      </c>
      <c r="AH34" s="179" t="str">
        <f t="shared" ref="AH34:AH35" si="28">IFERROR(IF(OR(AND(AD34="Muy Baja",AF34="Leve"),AND(AD34="Muy Baja",AF34="Menor"),AND(AD34="Baja",AF34="Leve")),"Bajo",IF(OR(AND(AD34="Muy baja",AF34="Moderado"),AND(AD34="Baja",AF34="Menor"),AND(AD34="Baja",AF34="Moderado"),AND(AD34="Media",AF34="Leve"),AND(AD34="Media",AF34="Menor"),AND(AD34="Media",AF34="Moderado"),AND(AD34="Alta",AF34="Leve"),AND(AD34="Alta",AF34="Menor")),"Moderado",IF(OR(AND(AD34="Muy Baja",AF34="Mayor"),AND(AD34="Baja",AF34="Mayor"),AND(AD34="Media",AF34="Mayor"),AND(AD34="Alta",AF34="Moderado"),AND(AD34="Alta",AF34="Mayor"),AND(AD34="Muy Alta",AF34="Leve"),AND(AD34="Muy Alta",AF34="Menor"),AND(AD34="Muy Alta",AF34="Moderado"),AND(AD34="Muy Alta",AF34="Mayor")),"Alto",IF(OR(AND(AD34="Muy Baja",AF34="Catastrófico"),AND(AD34="Baja",AF34="Catastrófico"),AND(AD34="Media",AF34="Catastrófico"),AND(AD34="Alta",AF34="Catastrófico"),AND(AD34="Muy Alta",AF34="Catastrófico")),"Extremo","")))),"")</f>
        <v/>
      </c>
      <c r="AI34" s="198"/>
      <c r="AJ34" s="400"/>
      <c r="AK34" s="319"/>
      <c r="AL34" s="349"/>
      <c r="AM34" s="349"/>
      <c r="AN34" s="408"/>
      <c r="AO34" s="406"/>
      <c r="AP34" s="398"/>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row>
    <row r="35" spans="1:73" s="170" customFormat="1" ht="15" x14ac:dyDescent="0.2">
      <c r="A35" s="389"/>
      <c r="B35" s="334"/>
      <c r="C35" s="334"/>
      <c r="D35" s="331"/>
      <c r="E35" s="331"/>
      <c r="F35" s="331"/>
      <c r="G35" s="343"/>
      <c r="H35" s="343"/>
      <c r="I35" s="338"/>
      <c r="J35" s="318"/>
      <c r="K35" s="331"/>
      <c r="L35" s="332"/>
      <c r="M35" s="327"/>
      <c r="N35" s="326"/>
      <c r="O35" s="333"/>
      <c r="P35" s="326">
        <f>IF(NOT(ISERROR(MATCH(O35,_xlfn.ANCHORARRAY(I46),0))),N48&amp;"Por favor no seleccionar los criterios de impacto",O35)</f>
        <v>0</v>
      </c>
      <c r="Q35" s="327"/>
      <c r="R35" s="326"/>
      <c r="S35" s="339"/>
      <c r="T35" s="172">
        <v>6</v>
      </c>
      <c r="U35" s="182"/>
      <c r="V35" s="173" t="str">
        <f t="shared" si="25"/>
        <v/>
      </c>
      <c r="W35" s="174"/>
      <c r="X35" s="174"/>
      <c r="Y35" s="175" t="str">
        <f t="shared" si="22"/>
        <v/>
      </c>
      <c r="Z35" s="174"/>
      <c r="AA35" s="174"/>
      <c r="AB35" s="174"/>
      <c r="AC35" s="176" t="str">
        <f t="shared" si="26"/>
        <v/>
      </c>
      <c r="AD35" s="177" t="str">
        <f t="shared" si="1"/>
        <v/>
      </c>
      <c r="AE35" s="178" t="str">
        <f t="shared" si="23"/>
        <v/>
      </c>
      <c r="AF35" s="177" t="str">
        <f t="shared" si="3"/>
        <v/>
      </c>
      <c r="AG35" s="178" t="str">
        <f t="shared" si="27"/>
        <v/>
      </c>
      <c r="AH35" s="179" t="str">
        <f t="shared" si="28"/>
        <v/>
      </c>
      <c r="AI35" s="198"/>
      <c r="AJ35" s="400"/>
      <c r="AK35" s="319"/>
      <c r="AL35" s="349"/>
      <c r="AM35" s="349"/>
      <c r="AN35" s="408"/>
      <c r="AO35" s="407"/>
      <c r="AP35" s="398"/>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row>
    <row r="36" spans="1:73" s="170" customFormat="1" ht="144.75" customHeight="1" x14ac:dyDescent="0.2">
      <c r="A36" s="389">
        <v>5</v>
      </c>
      <c r="B36" s="334" t="s">
        <v>232</v>
      </c>
      <c r="C36" s="334" t="s">
        <v>245</v>
      </c>
      <c r="D36" s="331" t="s">
        <v>133</v>
      </c>
      <c r="E36" s="390" t="s">
        <v>394</v>
      </c>
      <c r="F36" s="390" t="s">
        <v>390</v>
      </c>
      <c r="G36" s="344" t="s">
        <v>482</v>
      </c>
      <c r="H36" s="340" t="s">
        <v>483</v>
      </c>
      <c r="I36" s="394" t="s">
        <v>480</v>
      </c>
      <c r="J36" s="323" t="s">
        <v>481</v>
      </c>
      <c r="K36" s="331" t="s">
        <v>123</v>
      </c>
      <c r="L36" s="332">
        <v>12000</v>
      </c>
      <c r="M36" s="327" t="str">
        <f>IF(L36&lt;=0,"",IF(L36&lt;=2,"Muy Baja",IF(L36&lt;=24,"Baja",IF(L36&lt;=500,"Media",IF(L36&lt;=5000,"Alta","Muy Alta")))))</f>
        <v>Muy Alta</v>
      </c>
      <c r="N36" s="326">
        <f>IF(M36="","",IF(M36="Muy Baja",0.2,IF(M36="Baja",0.4,IF(M36="Media",0.6,IF(M36="Alta",0.8,IF(M36="Muy Alta",1,))))))</f>
        <v>1</v>
      </c>
      <c r="O36" s="333" t="s">
        <v>149</v>
      </c>
      <c r="P36" s="326" t="str">
        <f>IF(NOT(ISERROR(MATCH(O36,'Tabla Impacto'!$B$221:$B$223,0))),'Tabla Impacto'!$F$223&amp;"Por favor no seleccionar los criterios de impacto(Afectación Económica o presupuestal y Pérdida Reputacional)",O36)</f>
        <v xml:space="preserve">     Entre 100 y 500 SMLMV </v>
      </c>
      <c r="Q36" s="327" t="str">
        <f>IF(OR(P36='Tabla Impacto'!$C$11,P36='Tabla Impacto'!$D$11),"Leve",IF(OR(P36='Tabla Impacto'!$C$12,P36='Tabla Impacto'!$D$12),"Menor",IF(OR(P36='Tabla Impacto'!$C$13,P36='Tabla Impacto'!$D$13),"Moderado",IF(OR(P36='Tabla Impacto'!$C$14,P36='Tabla Impacto'!$D$14),"Mayor",IF(OR(P36='Tabla Impacto'!$C$15,P36='Tabla Impacto'!$D$15),"Catastrófico","")))))</f>
        <v>Mayor</v>
      </c>
      <c r="R36" s="326">
        <f>IF(Q36="","",IF(Q36="Leve",0.2,IF(Q36="Menor",0.4,IF(Q36="Moderado",0.6,IF(Q36="Mayor",0.8,IF(Q36="Catastrófico",1,))))))</f>
        <v>0.8</v>
      </c>
      <c r="S36" s="339" t="str">
        <f>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Alto</v>
      </c>
      <c r="T36" s="172">
        <v>1</v>
      </c>
      <c r="U36" s="193" t="s">
        <v>475</v>
      </c>
      <c r="V36" s="173" t="str">
        <f>IF(OR(W36="Preventivo",W36="Detectivo"),"Probabilidad",IF(W36="Correctivo","Impacto",""))</f>
        <v>Probabilidad</v>
      </c>
      <c r="W36" s="174" t="s">
        <v>14</v>
      </c>
      <c r="X36" s="174" t="s">
        <v>9</v>
      </c>
      <c r="Y36" s="175" t="str">
        <f>IF(AND(W36="Preventivo",X36="Automático"),"50%",IF(AND(W36="Preventivo",X36="Manual"),"40%",IF(AND(W36="Detectivo",X36="Automático"),"40%",IF(AND(W36="Detectivo",X36="Manual"),"30%",IF(AND(W36="Correctivo",X36="Automático"),"35%",IF(AND(W36="Correctivo",X36="Manual"),"25%",""))))))</f>
        <v>40%</v>
      </c>
      <c r="Z36" s="174" t="s">
        <v>19</v>
      </c>
      <c r="AA36" s="174" t="s">
        <v>22</v>
      </c>
      <c r="AB36" s="174" t="s">
        <v>119</v>
      </c>
      <c r="AC36" s="176">
        <f>IFERROR(IF(V36="Probabilidad",(N36-(+N36*Y36)),IF(V36="Impacto",N36,"")),"")</f>
        <v>0.6</v>
      </c>
      <c r="AD36" s="177" t="str">
        <f>IFERROR(IF(AC36="","",IF(AC36&lt;=0.2,"Muy Baja",IF(AC36&lt;=0.4,"Baja",IF(AC36&lt;=0.6,"Media",IF(AC36&lt;=0.8,"Alta","Muy Alta"))))),"")</f>
        <v>Media</v>
      </c>
      <c r="AE36" s="178">
        <f>+AC36</f>
        <v>0.6</v>
      </c>
      <c r="AF36" s="177" t="str">
        <f>IFERROR(IF(AG36="","",IF(AG36&lt;=0.2,"Leve",IF(AG36&lt;=0.4,"Menor",IF(AG36&lt;=0.6,"Moderado",IF(AG36&lt;=0.8,"Mayor","Catastrófico"))))),"")</f>
        <v>Mayor</v>
      </c>
      <c r="AG36" s="178">
        <f>IFERROR(IF(V36="Impacto",(R36-(+R36*Y36)),IF(V36="Probabilidad",R36,"")),"")</f>
        <v>0.8</v>
      </c>
      <c r="AH36" s="179" t="str">
        <f>IFERROR(IF(OR(AND(AD36="Muy Baja",AF36="Leve"),AND(AD36="Muy Baja",AF36="Menor"),AND(AD36="Baja",AF36="Leve")),"Bajo",IF(OR(AND(AD36="Muy baja",AF36="Moderado"),AND(AD36="Baja",AF36="Menor"),AND(AD36="Baja",AF36="Moderado"),AND(AD36="Media",AF36="Leve"),AND(AD36="Media",AF36="Menor"),AND(AD36="Media",AF36="Moderado"),AND(AD36="Alta",AF36="Leve"),AND(AD36="Alta",AF36="Menor")),"Moderado",IF(OR(AND(AD36="Muy Baja",AF36="Mayor"),AND(AD36="Baja",AF36="Mayor"),AND(AD36="Media",AF36="Mayor"),AND(AD36="Alta",AF36="Moderado"),AND(AD36="Alta",AF36="Mayor"),AND(AD36="Muy Alta",AF36="Leve"),AND(AD36="Muy Alta",AF36="Menor"),AND(AD36="Muy Alta",AF36="Moderado"),AND(AD36="Muy Alta",AF36="Mayor")),"Alto",IF(OR(AND(AD36="Muy Baja",AF36="Catastrófico"),AND(AD36="Baja",AF36="Catastrófico"),AND(AD36="Media",AF36="Catastrófico"),AND(AD36="Alta",AF36="Catastrófico"),AND(AD36="Muy Alta",AF36="Catastrófico")),"Extremo","")))),"")</f>
        <v>Alto</v>
      </c>
      <c r="AI36" s="198" t="s">
        <v>135</v>
      </c>
      <c r="AJ36" s="401" t="s">
        <v>478</v>
      </c>
      <c r="AK36" s="319" t="s">
        <v>301</v>
      </c>
      <c r="AL36" s="349">
        <v>44928</v>
      </c>
      <c r="AM36" s="413" t="s">
        <v>441</v>
      </c>
      <c r="AN36" s="408" t="s">
        <v>220</v>
      </c>
      <c r="AO36" s="405" t="s">
        <v>420</v>
      </c>
      <c r="AP36" s="399" t="s">
        <v>479</v>
      </c>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row>
    <row r="37" spans="1:73" s="170" customFormat="1" ht="167.25" customHeight="1" x14ac:dyDescent="0.2">
      <c r="A37" s="389"/>
      <c r="B37" s="334"/>
      <c r="C37" s="334"/>
      <c r="D37" s="331"/>
      <c r="E37" s="390"/>
      <c r="F37" s="390"/>
      <c r="G37" s="345"/>
      <c r="H37" s="340"/>
      <c r="I37" s="394"/>
      <c r="J37" s="324"/>
      <c r="K37" s="331"/>
      <c r="L37" s="332"/>
      <c r="M37" s="327"/>
      <c r="N37" s="326"/>
      <c r="O37" s="333"/>
      <c r="P37" s="326">
        <f>IF(NOT(ISERROR(MATCH(O37,_xlfn.ANCHORARRAY(I48),0))),N50&amp;"Por favor no seleccionar los criterios de impacto",O37)</f>
        <v>0</v>
      </c>
      <c r="Q37" s="327"/>
      <c r="R37" s="326"/>
      <c r="S37" s="339"/>
      <c r="T37" s="172">
        <v>2</v>
      </c>
      <c r="U37" s="193" t="s">
        <v>476</v>
      </c>
      <c r="V37" s="173" t="str">
        <f>IF(OR(W37="Preventivo",W37="Detectivo"),"Probabilidad",IF(W37="Correctivo","Impacto",""))</f>
        <v>Probabilidad</v>
      </c>
      <c r="W37" s="174" t="s">
        <v>15</v>
      </c>
      <c r="X37" s="174" t="s">
        <v>10</v>
      </c>
      <c r="Y37" s="175" t="str">
        <f t="shared" ref="Y37:Y41" si="29">IF(AND(W37="Preventivo",X37="Automático"),"50%",IF(AND(W37="Preventivo",X37="Manual"),"40%",IF(AND(W37="Detectivo",X37="Automático"),"40%",IF(AND(W37="Detectivo",X37="Manual"),"30%",IF(AND(W37="Correctivo",X37="Automático"),"35%",IF(AND(W37="Correctivo",X37="Manual"),"25%",""))))))</f>
        <v>40%</v>
      </c>
      <c r="Z37" s="174" t="s">
        <v>19</v>
      </c>
      <c r="AA37" s="174" t="s">
        <v>22</v>
      </c>
      <c r="AB37" s="174" t="s">
        <v>119</v>
      </c>
      <c r="AC37" s="176">
        <f>IFERROR(IF(AND(V36="Probabilidad",V37="Probabilidad"),(AE36-(+AE36*Y37)),IF(V37="Probabilidad",(N36-(+N36*Y37)),IF(V37="Impacto",AE36,""))),"")</f>
        <v>0.36</v>
      </c>
      <c r="AD37" s="177" t="str">
        <f t="shared" si="1"/>
        <v>Baja</v>
      </c>
      <c r="AE37" s="178">
        <f t="shared" ref="AE37:AE41" si="30">+AC37</f>
        <v>0.36</v>
      </c>
      <c r="AF37" s="177" t="str">
        <f t="shared" si="3"/>
        <v>Mayor</v>
      </c>
      <c r="AG37" s="178">
        <f>IFERROR(IF(AND(V36="Impacto",V37="Impacto"),(AG36-(+AG36*Y37)),IF(V37="Impacto",(R36-(+R36*Y37)),IF(V37="Probabilidad",AG36,""))),"")</f>
        <v>0.8</v>
      </c>
      <c r="AH37" s="179" t="str">
        <f t="shared" ref="AH37:AH38" si="31">IFERROR(IF(OR(AND(AD37="Muy Baja",AF37="Leve"),AND(AD37="Muy Baja",AF37="Menor"),AND(AD37="Baja",AF37="Leve")),"Bajo",IF(OR(AND(AD37="Muy baja",AF37="Moderado"),AND(AD37="Baja",AF37="Menor"),AND(AD37="Baja",AF37="Moderado"),AND(AD37="Media",AF37="Leve"),AND(AD37="Media",AF37="Menor"),AND(AD37="Media",AF37="Moderado"),AND(AD37="Alta",AF37="Leve"),AND(AD37="Alta",AF37="Menor")),"Moderado",IF(OR(AND(AD37="Muy Baja",AF37="Mayor"),AND(AD37="Baja",AF37="Mayor"),AND(AD37="Media",AF37="Mayor"),AND(AD37="Alta",AF37="Moderado"),AND(AD37="Alta",AF37="Mayor"),AND(AD37="Muy Alta",AF37="Leve"),AND(AD37="Muy Alta",AF37="Menor"),AND(AD37="Muy Alta",AF37="Moderado"),AND(AD37="Muy Alta",AF37="Mayor")),"Alto",IF(OR(AND(AD37="Muy Baja",AF37="Catastrófico"),AND(AD37="Baja",AF37="Catastrófico"),AND(AD37="Media",AF37="Catastrófico"),AND(AD37="Alta",AF37="Catastrófico"),AND(AD37="Muy Alta",AF37="Catastrófico")),"Extremo","")))),"")</f>
        <v>Alto</v>
      </c>
      <c r="AI37" s="198" t="s">
        <v>135</v>
      </c>
      <c r="AJ37" s="401"/>
      <c r="AK37" s="319"/>
      <c r="AL37" s="349"/>
      <c r="AM37" s="349"/>
      <c r="AN37" s="408"/>
      <c r="AO37" s="406"/>
      <c r="AP37" s="398"/>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row>
    <row r="38" spans="1:73" s="170" customFormat="1" ht="155.25" customHeight="1" x14ac:dyDescent="0.2">
      <c r="A38" s="389"/>
      <c r="B38" s="334"/>
      <c r="C38" s="334"/>
      <c r="D38" s="331"/>
      <c r="E38" s="390"/>
      <c r="F38" s="390"/>
      <c r="G38" s="345"/>
      <c r="H38" s="340"/>
      <c r="I38" s="394"/>
      <c r="J38" s="324"/>
      <c r="K38" s="331"/>
      <c r="L38" s="332"/>
      <c r="M38" s="327"/>
      <c r="N38" s="326"/>
      <c r="O38" s="333"/>
      <c r="P38" s="326">
        <f>IF(NOT(ISERROR(MATCH(O38,_xlfn.ANCHORARRAY(I49),0))),N51&amp;"Por favor no seleccionar los criterios de impacto",O38)</f>
        <v>0</v>
      </c>
      <c r="Q38" s="327"/>
      <c r="R38" s="326"/>
      <c r="S38" s="339"/>
      <c r="T38" s="172">
        <v>3</v>
      </c>
      <c r="U38" s="193" t="s">
        <v>477</v>
      </c>
      <c r="V38" s="173" t="str">
        <f>IF(OR(W38="Preventivo",W38="Detectivo"),"Probabilidad",IF(W38="Correctivo","Impacto",""))</f>
        <v>Probabilidad</v>
      </c>
      <c r="W38" s="174" t="s">
        <v>15</v>
      </c>
      <c r="X38" s="174" t="s">
        <v>9</v>
      </c>
      <c r="Y38" s="175" t="str">
        <f t="shared" si="29"/>
        <v>30%</v>
      </c>
      <c r="Z38" s="174" t="s">
        <v>19</v>
      </c>
      <c r="AA38" s="174" t="s">
        <v>22</v>
      </c>
      <c r="AB38" s="174" t="s">
        <v>119</v>
      </c>
      <c r="AC38" s="176">
        <f>IFERROR(IF(AND(V37="Probabilidad",V38="Probabilidad"),(AE37-(+AE37*Y38)),IF(AND(V37="Impacto",V38="Probabilidad"),(AE36-(+AE36*Y38)),IF(V38="Impacto",AE37,""))),"")</f>
        <v>0.252</v>
      </c>
      <c r="AD38" s="177" t="str">
        <f t="shared" si="1"/>
        <v>Baja</v>
      </c>
      <c r="AE38" s="178">
        <f t="shared" si="30"/>
        <v>0.252</v>
      </c>
      <c r="AF38" s="177" t="str">
        <f t="shared" si="3"/>
        <v>Mayor</v>
      </c>
      <c r="AG38" s="178">
        <f>IFERROR(IF(AND(V37="Impacto",V38="Impacto"),(AG37-(+AG37*Y38)),IF(AND(V37="Probabilidad",V38="Impacto"),(AG36-(+AG36*Y38)),IF(V38="Probabilidad",AG37,""))),"")</f>
        <v>0.8</v>
      </c>
      <c r="AH38" s="179" t="str">
        <f t="shared" si="31"/>
        <v>Alto</v>
      </c>
      <c r="AI38" s="198" t="s">
        <v>135</v>
      </c>
      <c r="AJ38" s="401"/>
      <c r="AK38" s="319"/>
      <c r="AL38" s="349"/>
      <c r="AM38" s="349"/>
      <c r="AN38" s="408"/>
      <c r="AO38" s="406"/>
      <c r="AP38" s="398"/>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row>
    <row r="39" spans="1:73" s="170" customFormat="1" ht="15" x14ac:dyDescent="0.2">
      <c r="A39" s="389"/>
      <c r="B39" s="334"/>
      <c r="C39" s="334"/>
      <c r="D39" s="331"/>
      <c r="E39" s="390"/>
      <c r="F39" s="390"/>
      <c r="G39" s="345"/>
      <c r="H39" s="340"/>
      <c r="I39" s="394"/>
      <c r="J39" s="324"/>
      <c r="K39" s="331"/>
      <c r="L39" s="332"/>
      <c r="M39" s="327"/>
      <c r="N39" s="326"/>
      <c r="O39" s="333"/>
      <c r="P39" s="326">
        <f>IF(NOT(ISERROR(MATCH(O39,_xlfn.ANCHORARRAY(I50),0))),N52&amp;"Por favor no seleccionar los criterios de impacto",O39)</f>
        <v>0</v>
      </c>
      <c r="Q39" s="327"/>
      <c r="R39" s="326"/>
      <c r="S39" s="339"/>
      <c r="T39" s="172">
        <v>4</v>
      </c>
      <c r="U39" s="182"/>
      <c r="V39" s="173" t="str">
        <f t="shared" ref="V39:V41" si="32">IF(OR(W39="Preventivo",W39="Detectivo"),"Probabilidad",IF(W39="Correctivo","Impacto",""))</f>
        <v/>
      </c>
      <c r="W39" s="174"/>
      <c r="X39" s="174"/>
      <c r="Y39" s="175" t="str">
        <f t="shared" si="29"/>
        <v/>
      </c>
      <c r="Z39" s="174"/>
      <c r="AA39" s="174"/>
      <c r="AB39" s="174"/>
      <c r="AC39" s="176" t="str">
        <f t="shared" ref="AC39:AC41" si="33">IFERROR(IF(AND(V38="Probabilidad",V39="Probabilidad"),(AE38-(+AE38*Y39)),IF(AND(V38="Impacto",V39="Probabilidad"),(AE37-(+AE37*Y39)),IF(V39="Impacto",AE38,""))),"")</f>
        <v/>
      </c>
      <c r="AD39" s="177" t="str">
        <f t="shared" si="1"/>
        <v/>
      </c>
      <c r="AE39" s="178" t="str">
        <f t="shared" si="30"/>
        <v/>
      </c>
      <c r="AF39" s="177" t="str">
        <f t="shared" si="3"/>
        <v/>
      </c>
      <c r="AG39" s="178" t="str">
        <f t="shared" ref="AG39:AG41" si="34">IFERROR(IF(AND(V38="Impacto",V39="Impacto"),(AG38-(+AG38*Y39)),IF(AND(V38="Probabilidad",V39="Impacto"),(AG37-(+AG37*Y39)),IF(V39="Probabilidad",AG38,""))),"")</f>
        <v/>
      </c>
      <c r="AH39" s="179" t="str">
        <f>IFERROR(IF(OR(AND(AD39="Muy Baja",AF39="Leve"),AND(AD39="Muy Baja",AF39="Menor"),AND(AD39="Baja",AF39="Leve")),"Bajo",IF(OR(AND(AD39="Muy baja",AF39="Moderado"),AND(AD39="Baja",AF39="Menor"),AND(AD39="Baja",AF39="Moderado"),AND(AD39="Media",AF39="Leve"),AND(AD39="Media",AF39="Menor"),AND(AD39="Media",AF39="Moderado"),AND(AD39="Alta",AF39="Leve"),AND(AD39="Alta",AF39="Menor")),"Moderado",IF(OR(AND(AD39="Muy Baja",AF39="Mayor"),AND(AD39="Baja",AF39="Mayor"),AND(AD39="Media",AF39="Mayor"),AND(AD39="Alta",AF39="Moderado"),AND(AD39="Alta",AF39="Mayor"),AND(AD39="Muy Alta",AF39="Leve"),AND(AD39="Muy Alta",AF39="Menor"),AND(AD39="Muy Alta",AF39="Moderado"),AND(AD39="Muy Alta",AF39="Mayor")),"Alto",IF(OR(AND(AD39="Muy Baja",AF39="Catastrófico"),AND(AD39="Baja",AF39="Catastrófico"),AND(AD39="Media",AF39="Catastrófico"),AND(AD39="Alta",AF39="Catastrófico"),AND(AD39="Muy Alta",AF39="Catastrófico")),"Extremo","")))),"")</f>
        <v/>
      </c>
      <c r="AI39" s="198"/>
      <c r="AJ39" s="401"/>
      <c r="AK39" s="319"/>
      <c r="AL39" s="349"/>
      <c r="AM39" s="349"/>
      <c r="AN39" s="408"/>
      <c r="AO39" s="406"/>
      <c r="AP39" s="398"/>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row>
    <row r="40" spans="1:73" s="170" customFormat="1" ht="15" x14ac:dyDescent="0.2">
      <c r="A40" s="389"/>
      <c r="B40" s="334"/>
      <c r="C40" s="334"/>
      <c r="D40" s="331"/>
      <c r="E40" s="390"/>
      <c r="F40" s="390"/>
      <c r="G40" s="345"/>
      <c r="H40" s="340"/>
      <c r="I40" s="394"/>
      <c r="J40" s="324"/>
      <c r="K40" s="331"/>
      <c r="L40" s="332"/>
      <c r="M40" s="327"/>
      <c r="N40" s="326"/>
      <c r="O40" s="333"/>
      <c r="P40" s="326">
        <f>IF(NOT(ISERROR(MATCH(O40,_xlfn.ANCHORARRAY(I51),0))),N53&amp;"Por favor no seleccionar los criterios de impacto",O40)</f>
        <v>0</v>
      </c>
      <c r="Q40" s="327"/>
      <c r="R40" s="326"/>
      <c r="S40" s="339"/>
      <c r="T40" s="172">
        <v>5</v>
      </c>
      <c r="U40" s="182"/>
      <c r="V40" s="173" t="str">
        <f t="shared" si="32"/>
        <v/>
      </c>
      <c r="W40" s="174"/>
      <c r="X40" s="174"/>
      <c r="Y40" s="175" t="str">
        <f t="shared" si="29"/>
        <v/>
      </c>
      <c r="Z40" s="174"/>
      <c r="AA40" s="174"/>
      <c r="AB40" s="174"/>
      <c r="AC40" s="176" t="str">
        <f t="shared" si="33"/>
        <v/>
      </c>
      <c r="AD40" s="177" t="str">
        <f t="shared" si="1"/>
        <v/>
      </c>
      <c r="AE40" s="178" t="str">
        <f t="shared" si="30"/>
        <v/>
      </c>
      <c r="AF40" s="177" t="str">
        <f t="shared" si="3"/>
        <v/>
      </c>
      <c r="AG40" s="178" t="str">
        <f t="shared" si="34"/>
        <v/>
      </c>
      <c r="AH40" s="179" t="str">
        <f t="shared" ref="AH40:AH41" si="35">IFERROR(IF(OR(AND(AD40="Muy Baja",AF40="Leve"),AND(AD40="Muy Baja",AF40="Menor"),AND(AD40="Baja",AF40="Leve")),"Bajo",IF(OR(AND(AD40="Muy baja",AF40="Moderado"),AND(AD40="Baja",AF40="Menor"),AND(AD40="Baja",AF40="Moderado"),AND(AD40="Media",AF40="Leve"),AND(AD40="Media",AF40="Menor"),AND(AD40="Media",AF40="Moderado"),AND(AD40="Alta",AF40="Leve"),AND(AD40="Alta",AF40="Menor")),"Moderado",IF(OR(AND(AD40="Muy Baja",AF40="Mayor"),AND(AD40="Baja",AF40="Mayor"),AND(AD40="Media",AF40="Mayor"),AND(AD40="Alta",AF40="Moderado"),AND(AD40="Alta",AF40="Mayor"),AND(AD40="Muy Alta",AF40="Leve"),AND(AD40="Muy Alta",AF40="Menor"),AND(AD40="Muy Alta",AF40="Moderado"),AND(AD40="Muy Alta",AF40="Mayor")),"Alto",IF(OR(AND(AD40="Muy Baja",AF40="Catastrófico"),AND(AD40="Baja",AF40="Catastrófico"),AND(AD40="Media",AF40="Catastrófico"),AND(AD40="Alta",AF40="Catastrófico"),AND(AD40="Muy Alta",AF40="Catastrófico")),"Extremo","")))),"")</f>
        <v/>
      </c>
      <c r="AI40" s="198"/>
      <c r="AJ40" s="401"/>
      <c r="AK40" s="319"/>
      <c r="AL40" s="349"/>
      <c r="AM40" s="349"/>
      <c r="AN40" s="408"/>
      <c r="AO40" s="406"/>
      <c r="AP40" s="398"/>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row>
    <row r="41" spans="1:73" s="170" customFormat="1" ht="15" x14ac:dyDescent="0.2">
      <c r="A41" s="389"/>
      <c r="B41" s="334"/>
      <c r="C41" s="334"/>
      <c r="D41" s="331"/>
      <c r="E41" s="390"/>
      <c r="F41" s="390"/>
      <c r="G41" s="346"/>
      <c r="H41" s="340"/>
      <c r="I41" s="394"/>
      <c r="J41" s="325"/>
      <c r="K41" s="331"/>
      <c r="L41" s="332"/>
      <c r="M41" s="327"/>
      <c r="N41" s="326"/>
      <c r="O41" s="333"/>
      <c r="P41" s="326">
        <f>IF(NOT(ISERROR(MATCH(O41,_xlfn.ANCHORARRAY(I52),0))),N54&amp;"Por favor no seleccionar los criterios de impacto",O41)</f>
        <v>0</v>
      </c>
      <c r="Q41" s="327"/>
      <c r="R41" s="326"/>
      <c r="S41" s="339"/>
      <c r="T41" s="172">
        <v>6</v>
      </c>
      <c r="U41" s="182"/>
      <c r="V41" s="173" t="str">
        <f t="shared" si="32"/>
        <v/>
      </c>
      <c r="W41" s="174"/>
      <c r="X41" s="174"/>
      <c r="Y41" s="175" t="str">
        <f t="shared" si="29"/>
        <v/>
      </c>
      <c r="Z41" s="174"/>
      <c r="AA41" s="174"/>
      <c r="AB41" s="174"/>
      <c r="AC41" s="176" t="str">
        <f t="shared" si="33"/>
        <v/>
      </c>
      <c r="AD41" s="177" t="str">
        <f t="shared" si="1"/>
        <v/>
      </c>
      <c r="AE41" s="178" t="str">
        <f t="shared" si="30"/>
        <v/>
      </c>
      <c r="AF41" s="177" t="str">
        <f t="shared" si="3"/>
        <v/>
      </c>
      <c r="AG41" s="178" t="str">
        <f t="shared" si="34"/>
        <v/>
      </c>
      <c r="AH41" s="179" t="str">
        <f t="shared" si="35"/>
        <v/>
      </c>
      <c r="AI41" s="198"/>
      <c r="AJ41" s="401"/>
      <c r="AK41" s="319"/>
      <c r="AL41" s="349"/>
      <c r="AM41" s="349"/>
      <c r="AN41" s="408"/>
      <c r="AO41" s="407"/>
      <c r="AP41" s="398"/>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row>
    <row r="42" spans="1:73" s="170" customFormat="1" ht="114" customHeight="1" x14ac:dyDescent="0.2">
      <c r="A42" s="389">
        <v>6</v>
      </c>
      <c r="B42" s="334" t="s">
        <v>232</v>
      </c>
      <c r="C42" s="334" t="s">
        <v>395</v>
      </c>
      <c r="D42" s="331" t="s">
        <v>133</v>
      </c>
      <c r="E42" s="331" t="s">
        <v>396</v>
      </c>
      <c r="F42" s="390" t="s">
        <v>397</v>
      </c>
      <c r="G42" s="341" t="s">
        <v>464</v>
      </c>
      <c r="H42" s="340" t="s">
        <v>465</v>
      </c>
      <c r="I42" s="338" t="s">
        <v>466</v>
      </c>
      <c r="J42" s="320" t="s">
        <v>398</v>
      </c>
      <c r="K42" s="331" t="s">
        <v>128</v>
      </c>
      <c r="L42" s="332">
        <v>108</v>
      </c>
      <c r="M42" s="327" t="str">
        <f>IF(L42&lt;=0,"",IF(L42&lt;=2,"Muy Baja",IF(L42&lt;=24,"Baja",IF(L42&lt;=500,"Media",IF(L42&lt;=5000,"Alta","Muy Alta")))))</f>
        <v>Media</v>
      </c>
      <c r="N42" s="326">
        <f>IF(M42="","",IF(M42="Muy Baja",0.2,IF(M42="Baja",0.4,IF(M42="Media",0.6,IF(M42="Alta",0.8,IF(M42="Muy Alta",1,))))))</f>
        <v>0.6</v>
      </c>
      <c r="O42" s="333" t="s">
        <v>149</v>
      </c>
      <c r="P42" s="326" t="str">
        <f>IF(NOT(ISERROR(MATCH(O42,'Tabla Impacto'!$B$221:$B$223,0))),'Tabla Impacto'!$F$223&amp;"Por favor no seleccionar los criterios de impacto(Afectación Económica o presupuestal y Pérdida Reputacional)",O42)</f>
        <v xml:space="preserve">     Entre 100 y 500 SMLMV </v>
      </c>
      <c r="Q42" s="327" t="str">
        <f>IF(OR(P42='Tabla Impacto'!$C$11,P42='Tabla Impacto'!$D$11),"Leve",IF(OR(P42='Tabla Impacto'!$C$12,P42='Tabla Impacto'!$D$12),"Menor",IF(OR(P42='Tabla Impacto'!$C$13,P42='Tabla Impacto'!$D$13),"Moderado",IF(OR(P42='Tabla Impacto'!$C$14,P42='Tabla Impacto'!$D$14),"Mayor",IF(OR(P42='Tabla Impacto'!$C$15,P42='Tabla Impacto'!$D$15),"Catastrófico","")))))</f>
        <v>Mayor</v>
      </c>
      <c r="R42" s="326">
        <f>IF(Q42="","",IF(Q42="Leve",0.2,IF(Q42="Menor",0.4,IF(Q42="Moderado",0.6,IF(Q42="Mayor",0.8,IF(Q42="Catastrófico",1,))))))</f>
        <v>0.8</v>
      </c>
      <c r="S42" s="339" t="str">
        <f>IF(OR(AND(M42="Muy Baja",Q42="Leve"),AND(M42="Muy Baja",Q42="Menor"),AND(M42="Baja",Q42="Leve")),"Bajo",IF(OR(AND(M42="Muy baja",Q42="Moderado"),AND(M42="Baja",Q42="Menor"),AND(M42="Baja",Q42="Moderado"),AND(M42="Media",Q42="Leve"),AND(M42="Media",Q42="Menor"),AND(M42="Media",Q42="Moderado"),AND(M42="Alta",Q42="Leve"),AND(M42="Alta",Q42="Menor")),"Moderado",IF(OR(AND(M42="Muy Baja",Q42="Mayor"),AND(M42="Baja",Q42="Mayor"),AND(M42="Media",Q42="Mayor"),AND(M42="Alta",Q42="Moderado"),AND(M42="Alta",Q42="Mayor"),AND(M42="Muy Alta",Q42="Leve"),AND(M42="Muy Alta",Q42="Menor"),AND(M42="Muy Alta",Q42="Moderado"),AND(M42="Muy Alta",Q42="Mayor")),"Alto",IF(OR(AND(M42="Muy Baja",Q42="Catastrófico"),AND(M42="Baja",Q42="Catastrófico"),AND(M42="Media",Q42="Catastrófico"),AND(M42="Alta",Q42="Catastrófico"),AND(M42="Muy Alta",Q42="Catastrófico")),"Extremo",""))))</f>
        <v>Alto</v>
      </c>
      <c r="T42" s="172">
        <v>1</v>
      </c>
      <c r="U42" s="194" t="s">
        <v>467</v>
      </c>
      <c r="V42" s="173" t="str">
        <f>IF(OR(W42="Preventivo",W42="Detectivo"),"Probabilidad",IF(W42="Correctivo","Impacto",""))</f>
        <v>Probabilidad</v>
      </c>
      <c r="W42" s="174" t="s">
        <v>14</v>
      </c>
      <c r="X42" s="174" t="s">
        <v>9</v>
      </c>
      <c r="Y42" s="175" t="str">
        <f>IF(AND(W42="Preventivo",X42="Automático"),"50%",IF(AND(W42="Preventivo",X42="Manual"),"40%",IF(AND(W42="Detectivo",X42="Automático"),"40%",IF(AND(W42="Detectivo",X42="Manual"),"30%",IF(AND(W42="Correctivo",X42="Automático"),"35%",IF(AND(W42="Correctivo",X42="Manual"),"25%",""))))))</f>
        <v>40%</v>
      </c>
      <c r="Z42" s="174" t="s">
        <v>19</v>
      </c>
      <c r="AA42" s="174" t="s">
        <v>22</v>
      </c>
      <c r="AB42" s="174" t="s">
        <v>119</v>
      </c>
      <c r="AC42" s="176">
        <f>IFERROR(IF(V42="Probabilidad",(N42-(+N42*Y42)),IF(V42="Impacto",N42,"")),"")</f>
        <v>0.36</v>
      </c>
      <c r="AD42" s="177" t="str">
        <f>IFERROR(IF(AC42="","",IF(AC42&lt;=0.2,"Muy Baja",IF(AC42&lt;=0.4,"Baja",IF(AC42&lt;=0.6,"Media",IF(AC42&lt;=0.8,"Alta","Muy Alta"))))),"")</f>
        <v>Baja</v>
      </c>
      <c r="AE42" s="178">
        <f>+AC42</f>
        <v>0.36</v>
      </c>
      <c r="AF42" s="177" t="str">
        <f>IFERROR(IF(AG42="","",IF(AG42&lt;=0.2,"Leve",IF(AG42&lt;=0.4,"Menor",IF(AG42&lt;=0.6,"Moderado",IF(AG42&lt;=0.8,"Mayor","Catastrófico"))))),"")</f>
        <v>Mayor</v>
      </c>
      <c r="AG42" s="178">
        <f>IFERROR(IF(V42="Impacto",(R42-(+R42*Y42)),IF(V42="Probabilidad",R42,"")),"")</f>
        <v>0.8</v>
      </c>
      <c r="AH42" s="179" t="str">
        <f>IFERROR(IF(OR(AND(AD42="Muy Baja",AF42="Leve"),AND(AD42="Muy Baja",AF42="Menor"),AND(AD42="Baja",AF42="Leve")),"Bajo",IF(OR(AND(AD42="Muy baja",AF42="Moderado"),AND(AD42="Baja",AF42="Menor"),AND(AD42="Baja",AF42="Moderado"),AND(AD42="Media",AF42="Leve"),AND(AD42="Media",AF42="Menor"),AND(AD42="Media",AF42="Moderado"),AND(AD42="Alta",AF42="Leve"),AND(AD42="Alta",AF42="Menor")),"Moderado",IF(OR(AND(AD42="Muy Baja",AF42="Mayor"),AND(AD42="Baja",AF42="Mayor"),AND(AD42="Media",AF42="Mayor"),AND(AD42="Alta",AF42="Moderado"),AND(AD42="Alta",AF42="Mayor"),AND(AD42="Muy Alta",AF42="Leve"),AND(AD42="Muy Alta",AF42="Menor"),AND(AD42="Muy Alta",AF42="Moderado"),AND(AD42="Muy Alta",AF42="Mayor")),"Alto",IF(OR(AND(AD42="Muy Baja",AF42="Catastrófico"),AND(AD42="Baja",AF42="Catastrófico"),AND(AD42="Media",AF42="Catastrófico"),AND(AD42="Alta",AF42="Catastrófico"),AND(AD42="Muy Alta",AF42="Catastrófico")),"Extremo","")))),"")</f>
        <v>Alto</v>
      </c>
      <c r="AI42" s="198" t="s">
        <v>136</v>
      </c>
      <c r="AJ42" s="400" t="s">
        <v>473</v>
      </c>
      <c r="AK42" s="319" t="s">
        <v>301</v>
      </c>
      <c r="AL42" s="349">
        <v>44928</v>
      </c>
      <c r="AM42" s="413" t="s">
        <v>441</v>
      </c>
      <c r="AN42" s="319" t="s">
        <v>220</v>
      </c>
      <c r="AO42" s="319" t="s">
        <v>420</v>
      </c>
      <c r="AP42" s="400" t="s">
        <v>474</v>
      </c>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row>
    <row r="43" spans="1:73" s="170" customFormat="1" ht="91.5" customHeight="1" x14ac:dyDescent="0.2">
      <c r="A43" s="389"/>
      <c r="B43" s="334"/>
      <c r="C43" s="334"/>
      <c r="D43" s="331"/>
      <c r="E43" s="331"/>
      <c r="F43" s="390"/>
      <c r="G43" s="342"/>
      <c r="H43" s="340"/>
      <c r="I43" s="338"/>
      <c r="J43" s="321"/>
      <c r="K43" s="331"/>
      <c r="L43" s="332"/>
      <c r="M43" s="327"/>
      <c r="N43" s="326"/>
      <c r="O43" s="333"/>
      <c r="P43" s="326">
        <f>IF(NOT(ISERROR(MATCH(O43,_xlfn.ANCHORARRAY(I54),0))),N56&amp;"Por favor no seleccionar los criterios de impacto",O43)</f>
        <v>0</v>
      </c>
      <c r="Q43" s="327"/>
      <c r="R43" s="326"/>
      <c r="S43" s="339"/>
      <c r="T43" s="172">
        <v>2</v>
      </c>
      <c r="U43" s="194" t="s">
        <v>468</v>
      </c>
      <c r="V43" s="173" t="str">
        <f>IF(OR(W43="Preventivo",W43="Detectivo"),"Probabilidad",IF(W43="Correctivo","Impacto",""))</f>
        <v>Probabilidad</v>
      </c>
      <c r="W43" s="174" t="s">
        <v>14</v>
      </c>
      <c r="X43" s="174" t="s">
        <v>9</v>
      </c>
      <c r="Y43" s="175" t="str">
        <f t="shared" ref="Y43:Y47" si="36">IF(AND(W43="Preventivo",X43="Automático"),"50%",IF(AND(W43="Preventivo",X43="Manual"),"40%",IF(AND(W43="Detectivo",X43="Automático"),"40%",IF(AND(W43="Detectivo",X43="Manual"),"30%",IF(AND(W43="Correctivo",X43="Automático"),"35%",IF(AND(W43="Correctivo",X43="Manual"),"25%",""))))))</f>
        <v>40%</v>
      </c>
      <c r="Z43" s="174" t="s">
        <v>19</v>
      </c>
      <c r="AA43" s="174" t="s">
        <v>22</v>
      </c>
      <c r="AB43" s="174" t="s">
        <v>119</v>
      </c>
      <c r="AC43" s="176">
        <f>IFERROR(IF(AND(V42="Probabilidad",V43="Probabilidad"),(AE42-(+AE42*Y43)),IF(V43="Probabilidad",(N42-(+N42*Y43)),IF(V43="Impacto",AE42,""))),"")</f>
        <v>0.216</v>
      </c>
      <c r="AD43" s="177" t="str">
        <f t="shared" si="1"/>
        <v>Baja</v>
      </c>
      <c r="AE43" s="178">
        <f t="shared" ref="AE43:AE47" si="37">+AC43</f>
        <v>0.216</v>
      </c>
      <c r="AF43" s="177" t="str">
        <f t="shared" si="3"/>
        <v>Mayor</v>
      </c>
      <c r="AG43" s="178">
        <f>IFERROR(IF(AND(V42="Impacto",V43="Impacto"),(AG42-(+AG42*Y43)),IF(V43="Impacto",(R42-(+R42*Y43)),IF(V43="Probabilidad",AG42,""))),"")</f>
        <v>0.8</v>
      </c>
      <c r="AH43" s="179" t="str">
        <f t="shared" ref="AH43:AH44" si="38">IFERROR(IF(OR(AND(AD43="Muy Baja",AF43="Leve"),AND(AD43="Muy Baja",AF43="Menor"),AND(AD43="Baja",AF43="Leve")),"Bajo",IF(OR(AND(AD43="Muy baja",AF43="Moderado"),AND(AD43="Baja",AF43="Menor"),AND(AD43="Baja",AF43="Moderado"),AND(AD43="Media",AF43="Leve"),AND(AD43="Media",AF43="Menor"),AND(AD43="Media",AF43="Moderado"),AND(AD43="Alta",AF43="Leve"),AND(AD43="Alta",AF43="Menor")),"Moderado",IF(OR(AND(AD43="Muy Baja",AF43="Mayor"),AND(AD43="Baja",AF43="Mayor"),AND(AD43="Media",AF43="Mayor"),AND(AD43="Alta",AF43="Moderado"),AND(AD43="Alta",AF43="Mayor"),AND(AD43="Muy Alta",AF43="Leve"),AND(AD43="Muy Alta",AF43="Menor"),AND(AD43="Muy Alta",AF43="Moderado"),AND(AD43="Muy Alta",AF43="Mayor")),"Alto",IF(OR(AND(AD43="Muy Baja",AF43="Catastrófico"),AND(AD43="Baja",AF43="Catastrófico"),AND(AD43="Media",AF43="Catastrófico"),AND(AD43="Alta",AF43="Catastrófico"),AND(AD43="Muy Alta",AF43="Catastrófico")),"Extremo","")))),"")</f>
        <v>Alto</v>
      </c>
      <c r="AI43" s="198" t="s">
        <v>136</v>
      </c>
      <c r="AJ43" s="400"/>
      <c r="AK43" s="319"/>
      <c r="AL43" s="349"/>
      <c r="AM43" s="349"/>
      <c r="AN43" s="319"/>
      <c r="AO43" s="319"/>
      <c r="AP43" s="400"/>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row>
    <row r="44" spans="1:73" s="170" customFormat="1" ht="118.5" customHeight="1" x14ac:dyDescent="0.2">
      <c r="A44" s="389"/>
      <c r="B44" s="334"/>
      <c r="C44" s="334"/>
      <c r="D44" s="331"/>
      <c r="E44" s="331"/>
      <c r="F44" s="390"/>
      <c r="G44" s="342"/>
      <c r="H44" s="340"/>
      <c r="I44" s="338"/>
      <c r="J44" s="321"/>
      <c r="K44" s="331"/>
      <c r="L44" s="332"/>
      <c r="M44" s="327"/>
      <c r="N44" s="326"/>
      <c r="O44" s="333"/>
      <c r="P44" s="326">
        <f>IF(NOT(ISERROR(MATCH(O44,_xlfn.ANCHORARRAY(I55),0))),N57&amp;"Por favor no seleccionar los criterios de impacto",O44)</f>
        <v>0</v>
      </c>
      <c r="Q44" s="327"/>
      <c r="R44" s="326"/>
      <c r="S44" s="339"/>
      <c r="T44" s="172">
        <v>3</v>
      </c>
      <c r="U44" s="194" t="s">
        <v>469</v>
      </c>
      <c r="V44" s="173" t="str">
        <f>IF(OR(W44="Preventivo",W44="Detectivo"),"Probabilidad",IF(W44="Correctivo","Impacto",""))</f>
        <v>Probabilidad</v>
      </c>
      <c r="W44" s="174" t="s">
        <v>14</v>
      </c>
      <c r="X44" s="174" t="s">
        <v>9</v>
      </c>
      <c r="Y44" s="175" t="str">
        <f t="shared" si="36"/>
        <v>40%</v>
      </c>
      <c r="Z44" s="174" t="s">
        <v>19</v>
      </c>
      <c r="AA44" s="174" t="s">
        <v>22</v>
      </c>
      <c r="AB44" s="174" t="s">
        <v>119</v>
      </c>
      <c r="AC44" s="176">
        <f>IFERROR(IF(AND(V43="Probabilidad",V44="Probabilidad"),(AE43-(+AE43*Y44)),IF(AND(V43="Impacto",V44="Probabilidad"),(AE42-(+AE42*Y44)),IF(V44="Impacto",AE43,""))),"")</f>
        <v>0.12959999999999999</v>
      </c>
      <c r="AD44" s="177" t="str">
        <f t="shared" si="1"/>
        <v>Muy Baja</v>
      </c>
      <c r="AE44" s="178">
        <f t="shared" si="37"/>
        <v>0.12959999999999999</v>
      </c>
      <c r="AF44" s="177" t="str">
        <f t="shared" si="3"/>
        <v>Mayor</v>
      </c>
      <c r="AG44" s="178">
        <f>IFERROR(IF(AND(V43="Impacto",V44="Impacto"),(AG43-(+AG43*Y44)),IF(AND(V43="Probabilidad",V44="Impacto"),(AG42-(+AG42*Y44)),IF(V44="Probabilidad",AG43,""))),"")</f>
        <v>0.8</v>
      </c>
      <c r="AH44" s="179" t="str">
        <f t="shared" si="38"/>
        <v>Alto</v>
      </c>
      <c r="AI44" s="198" t="s">
        <v>136</v>
      </c>
      <c r="AJ44" s="400"/>
      <c r="AK44" s="319"/>
      <c r="AL44" s="349"/>
      <c r="AM44" s="349"/>
      <c r="AN44" s="319"/>
      <c r="AO44" s="319"/>
      <c r="AP44" s="400"/>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row>
    <row r="45" spans="1:73" s="170" customFormat="1" ht="107.25" customHeight="1" x14ac:dyDescent="0.2">
      <c r="A45" s="389"/>
      <c r="B45" s="334"/>
      <c r="C45" s="334"/>
      <c r="D45" s="331"/>
      <c r="E45" s="331"/>
      <c r="F45" s="390"/>
      <c r="G45" s="342"/>
      <c r="H45" s="340"/>
      <c r="I45" s="338"/>
      <c r="J45" s="321"/>
      <c r="K45" s="331"/>
      <c r="L45" s="332"/>
      <c r="M45" s="327"/>
      <c r="N45" s="326"/>
      <c r="O45" s="333"/>
      <c r="P45" s="326">
        <f>IF(NOT(ISERROR(MATCH(O45,_xlfn.ANCHORARRAY(I56),0))),N58&amp;"Por favor no seleccionar los criterios de impacto",O45)</f>
        <v>0</v>
      </c>
      <c r="Q45" s="327"/>
      <c r="R45" s="326"/>
      <c r="S45" s="339"/>
      <c r="T45" s="172">
        <v>4</v>
      </c>
      <c r="U45" s="201" t="s">
        <v>470</v>
      </c>
      <c r="V45" s="173" t="str">
        <f t="shared" ref="V45:V47" si="39">IF(OR(W45="Preventivo",W45="Detectivo"),"Probabilidad",IF(W45="Correctivo","Impacto",""))</f>
        <v>Probabilidad</v>
      </c>
      <c r="W45" s="174" t="s">
        <v>15</v>
      </c>
      <c r="X45" s="174" t="s">
        <v>9</v>
      </c>
      <c r="Y45" s="175" t="str">
        <f t="shared" si="36"/>
        <v>30%</v>
      </c>
      <c r="Z45" s="174" t="s">
        <v>19</v>
      </c>
      <c r="AA45" s="174" t="s">
        <v>22</v>
      </c>
      <c r="AB45" s="174" t="s">
        <v>119</v>
      </c>
      <c r="AC45" s="176">
        <f t="shared" ref="AC45:AC47" si="40">IFERROR(IF(AND(V44="Probabilidad",V45="Probabilidad"),(AE44-(+AE44*Y45)),IF(AND(V44="Impacto",V45="Probabilidad"),(AE43-(+AE43*Y45)),IF(V45="Impacto",AE44,""))),"")</f>
        <v>9.0719999999999995E-2</v>
      </c>
      <c r="AD45" s="177" t="str">
        <f t="shared" si="1"/>
        <v>Muy Baja</v>
      </c>
      <c r="AE45" s="178">
        <f t="shared" si="37"/>
        <v>9.0719999999999995E-2</v>
      </c>
      <c r="AF45" s="177" t="str">
        <f t="shared" si="3"/>
        <v>Mayor</v>
      </c>
      <c r="AG45" s="178">
        <f t="shared" ref="AG45:AG47" si="41">IFERROR(IF(AND(V44="Impacto",V45="Impacto"),(AG44-(+AG44*Y45)),IF(AND(V44="Probabilidad",V45="Impacto"),(AG43-(+AG43*Y45)),IF(V45="Probabilidad",AG44,""))),"")</f>
        <v>0.8</v>
      </c>
      <c r="AH45" s="179" t="str">
        <f>IFERROR(IF(OR(AND(AD45="Muy Baja",AF45="Leve"),AND(AD45="Muy Baja",AF45="Menor"),AND(AD45="Baja",AF45="Leve")),"Bajo",IF(OR(AND(AD45="Muy baja",AF45="Moderado"),AND(AD45="Baja",AF45="Menor"),AND(AD45="Baja",AF45="Moderado"),AND(AD45="Media",AF45="Leve"),AND(AD45="Media",AF45="Menor"),AND(AD45="Media",AF45="Moderado"),AND(AD45="Alta",AF45="Leve"),AND(AD45="Alta",AF45="Menor")),"Moderado",IF(OR(AND(AD45="Muy Baja",AF45="Mayor"),AND(AD45="Baja",AF45="Mayor"),AND(AD45="Media",AF45="Mayor"),AND(AD45="Alta",AF45="Moderado"),AND(AD45="Alta",AF45="Mayor"),AND(AD45="Muy Alta",AF45="Leve"),AND(AD45="Muy Alta",AF45="Menor"),AND(AD45="Muy Alta",AF45="Moderado"),AND(AD45="Muy Alta",AF45="Mayor")),"Alto",IF(OR(AND(AD45="Muy Baja",AF45="Catastrófico"),AND(AD45="Baja",AF45="Catastrófico"),AND(AD45="Media",AF45="Catastrófico"),AND(AD45="Alta",AF45="Catastrófico"),AND(AD45="Muy Alta",AF45="Catastrófico")),"Extremo","")))),"")</f>
        <v>Alto</v>
      </c>
      <c r="AI45" s="198" t="s">
        <v>136</v>
      </c>
      <c r="AJ45" s="400"/>
      <c r="AK45" s="319"/>
      <c r="AL45" s="349"/>
      <c r="AM45" s="349"/>
      <c r="AN45" s="319"/>
      <c r="AO45" s="319"/>
      <c r="AP45" s="400"/>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row>
    <row r="46" spans="1:73" s="170" customFormat="1" ht="104.25" customHeight="1" x14ac:dyDescent="0.2">
      <c r="A46" s="389"/>
      <c r="B46" s="334"/>
      <c r="C46" s="334"/>
      <c r="D46" s="331"/>
      <c r="E46" s="331"/>
      <c r="F46" s="390"/>
      <c r="G46" s="342"/>
      <c r="H46" s="340"/>
      <c r="I46" s="338"/>
      <c r="J46" s="321"/>
      <c r="K46" s="331"/>
      <c r="L46" s="332"/>
      <c r="M46" s="327"/>
      <c r="N46" s="326"/>
      <c r="O46" s="333"/>
      <c r="P46" s="326">
        <f>IF(NOT(ISERROR(MATCH(O46,_xlfn.ANCHORARRAY(I57),0))),N59&amp;"Por favor no seleccionar los criterios de impacto",O46)</f>
        <v>0</v>
      </c>
      <c r="Q46" s="327"/>
      <c r="R46" s="326"/>
      <c r="S46" s="339"/>
      <c r="T46" s="172">
        <v>5</v>
      </c>
      <c r="U46" s="201" t="s">
        <v>471</v>
      </c>
      <c r="V46" s="173" t="str">
        <f t="shared" si="39"/>
        <v>Probabilidad</v>
      </c>
      <c r="W46" s="174" t="s">
        <v>15</v>
      </c>
      <c r="X46" s="174" t="s">
        <v>9</v>
      </c>
      <c r="Y46" s="175" t="str">
        <f t="shared" si="36"/>
        <v>30%</v>
      </c>
      <c r="Z46" s="174" t="s">
        <v>19</v>
      </c>
      <c r="AA46" s="174" t="s">
        <v>22</v>
      </c>
      <c r="AB46" s="174" t="s">
        <v>119</v>
      </c>
      <c r="AC46" s="176">
        <f t="shared" si="40"/>
        <v>6.3504000000000005E-2</v>
      </c>
      <c r="AD46" s="177" t="str">
        <f t="shared" si="1"/>
        <v>Muy Baja</v>
      </c>
      <c r="AE46" s="178">
        <f t="shared" si="37"/>
        <v>6.3504000000000005E-2</v>
      </c>
      <c r="AF46" s="177" t="str">
        <f t="shared" si="3"/>
        <v>Mayor</v>
      </c>
      <c r="AG46" s="178">
        <f t="shared" si="41"/>
        <v>0.8</v>
      </c>
      <c r="AH46" s="179" t="str">
        <f t="shared" ref="AH46" si="42">IFERROR(IF(OR(AND(AD46="Muy Baja",AF46="Leve"),AND(AD46="Muy Baja",AF46="Menor"),AND(AD46="Baja",AF46="Leve")),"Bajo",IF(OR(AND(AD46="Muy baja",AF46="Moderado"),AND(AD46="Baja",AF46="Menor"),AND(AD46="Baja",AF46="Moderado"),AND(AD46="Media",AF46="Leve"),AND(AD46="Media",AF46="Menor"),AND(AD46="Media",AF46="Moderado"),AND(AD46="Alta",AF46="Leve"),AND(AD46="Alta",AF46="Menor")),"Moderado",IF(OR(AND(AD46="Muy Baja",AF46="Mayor"),AND(AD46="Baja",AF46="Mayor"),AND(AD46="Media",AF46="Mayor"),AND(AD46="Alta",AF46="Moderado"),AND(AD46="Alta",AF46="Mayor"),AND(AD46="Muy Alta",AF46="Leve"),AND(AD46="Muy Alta",AF46="Menor"),AND(AD46="Muy Alta",AF46="Moderado"),AND(AD46="Muy Alta",AF46="Mayor")),"Alto",IF(OR(AND(AD46="Muy Baja",AF46="Catastrófico"),AND(AD46="Baja",AF46="Catastrófico"),AND(AD46="Media",AF46="Catastrófico"),AND(AD46="Alta",AF46="Catastrófico"),AND(AD46="Muy Alta",AF46="Catastrófico")),"Extremo","")))),"")</f>
        <v>Alto</v>
      </c>
      <c r="AI46" s="198" t="s">
        <v>136</v>
      </c>
      <c r="AJ46" s="400"/>
      <c r="AK46" s="319"/>
      <c r="AL46" s="349"/>
      <c r="AM46" s="349"/>
      <c r="AN46" s="319"/>
      <c r="AO46" s="319"/>
      <c r="AP46" s="400"/>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row>
    <row r="47" spans="1:73" s="170" customFormat="1" ht="122.25" x14ac:dyDescent="0.2">
      <c r="A47" s="389"/>
      <c r="B47" s="334"/>
      <c r="C47" s="334"/>
      <c r="D47" s="331"/>
      <c r="E47" s="331"/>
      <c r="F47" s="390"/>
      <c r="G47" s="343"/>
      <c r="H47" s="340"/>
      <c r="I47" s="338"/>
      <c r="J47" s="322"/>
      <c r="K47" s="331"/>
      <c r="L47" s="332"/>
      <c r="M47" s="327"/>
      <c r="N47" s="326"/>
      <c r="O47" s="333"/>
      <c r="P47" s="326">
        <f>IF(NOT(ISERROR(MATCH(O47,_xlfn.ANCHORARRAY(I58),0))),N60&amp;"Por favor no seleccionar los criterios de impacto",O47)</f>
        <v>0</v>
      </c>
      <c r="Q47" s="327"/>
      <c r="R47" s="326"/>
      <c r="S47" s="339"/>
      <c r="T47" s="172">
        <v>6</v>
      </c>
      <c r="U47" s="201" t="s">
        <v>472</v>
      </c>
      <c r="V47" s="173" t="str">
        <f t="shared" si="39"/>
        <v>Impacto</v>
      </c>
      <c r="W47" s="174" t="s">
        <v>16</v>
      </c>
      <c r="X47" s="174" t="s">
        <v>9</v>
      </c>
      <c r="Y47" s="175" t="str">
        <f t="shared" si="36"/>
        <v>25%</v>
      </c>
      <c r="Z47" s="174" t="s">
        <v>19</v>
      </c>
      <c r="AA47" s="174" t="s">
        <v>22</v>
      </c>
      <c r="AB47" s="174" t="s">
        <v>119</v>
      </c>
      <c r="AC47" s="176">
        <f t="shared" si="40"/>
        <v>6.3504000000000005E-2</v>
      </c>
      <c r="AD47" s="177" t="str">
        <f t="shared" si="1"/>
        <v>Muy Baja</v>
      </c>
      <c r="AE47" s="178">
        <f t="shared" si="37"/>
        <v>6.3504000000000005E-2</v>
      </c>
      <c r="AF47" s="177" t="str">
        <f>IFERROR(IF(AG47="","",IF(AG47&lt;=0.2,"Leve",IF(AG47&lt;=0.4,"Menor",IF(AG47&lt;=0.6,"Moderado",IF(AG47&lt;=0.8,"Mayor","Catastrófico"))))),"")</f>
        <v>Moderado</v>
      </c>
      <c r="AG47" s="178">
        <f t="shared" si="41"/>
        <v>0.60000000000000009</v>
      </c>
      <c r="AH47" s="179" t="str">
        <f>IFERROR(IF(OR(AND(AD47="Muy Baja",AF47="Leve"),AND(AD47="Muy Baja",AF47="Menor"),AND(AD47="Baja",AF47="Leve")),"Bajo",IF(OR(AND(AD47="Muy baja",AF47="Moderado"),AND(AD47="Baja",AF47="Menor"),AND(AD47="Baja",AF47="Moderado"),AND(AD47="Media",AF47="Leve"),AND(AD47="Media",AF47="Menor"),AND(AD47="Media",AF47="Moderado"),AND(AD47="Alta",AF47="Leve"),AND(AD47="Alta",AF47="Menor")),"Moderado",IF(OR(AND(AD47="Muy Baja",AF47="Mayor"),AND(AD47="Baja",AF47="Mayor"),AND(AD47="Media",AF47="Mayor"),AND(AD47="Alta",AF47="Moderado"),AND(AD47="Alta",AF47="Mayor"),AND(AD47="Muy Alta",AF47="Leve"),AND(AD47="Muy Alta",AF47="Menor"),AND(AD47="Muy Alta",AF47="Moderado"),AND(AD47="Muy Alta",AF47="Mayor")),"Alto",IF(OR(AND(AD47="Muy Baja",AF47="Catastrófico"),AND(AD47="Baja",AF47="Catastrófico"),AND(AD47="Media",AF47="Catastrófico"),AND(AD47="Alta",AF47="Catastrófico"),AND(AD47="Muy Alta",AF47="Catastrófico")),"Extremo","")))),"")</f>
        <v>Moderado</v>
      </c>
      <c r="AI47" s="198" t="s">
        <v>136</v>
      </c>
      <c r="AJ47" s="400"/>
      <c r="AK47" s="319"/>
      <c r="AL47" s="349"/>
      <c r="AM47" s="349"/>
      <c r="AN47" s="319"/>
      <c r="AO47" s="319"/>
      <c r="AP47" s="400"/>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149"/>
      <c r="BT47" s="149"/>
      <c r="BU47" s="149"/>
    </row>
    <row r="48" spans="1:73" s="170" customFormat="1" ht="148.5" customHeight="1" x14ac:dyDescent="0.2">
      <c r="A48" s="389">
        <v>7</v>
      </c>
      <c r="B48" s="334" t="s">
        <v>232</v>
      </c>
      <c r="C48" s="334" t="s">
        <v>247</v>
      </c>
      <c r="D48" s="331" t="s">
        <v>133</v>
      </c>
      <c r="E48" s="331" t="s">
        <v>403</v>
      </c>
      <c r="F48" s="390" t="s">
        <v>402</v>
      </c>
      <c r="G48" s="341" t="s">
        <v>401</v>
      </c>
      <c r="H48" s="340" t="s">
        <v>400</v>
      </c>
      <c r="I48" s="338" t="s">
        <v>399</v>
      </c>
      <c r="J48" s="320" t="s">
        <v>404</v>
      </c>
      <c r="K48" s="331" t="s">
        <v>123</v>
      </c>
      <c r="L48" s="332">
        <v>240</v>
      </c>
      <c r="M48" s="327" t="str">
        <f>IF(L48&lt;=0,"",IF(L48&lt;=2,"Muy Baja",IF(L48&lt;=24,"Baja",IF(L48&lt;=500,"Media",IF(L48&lt;=5000,"Alta","Muy Alta")))))</f>
        <v>Media</v>
      </c>
      <c r="N48" s="326">
        <f>IF(M48="","",IF(M48="Muy Baja",0.2,IF(M48="Baja",0.4,IF(M48="Media",0.6,IF(M48="Alta",0.8,IF(M48="Muy Alta",1,))))))</f>
        <v>0.6</v>
      </c>
      <c r="O48" s="333" t="s">
        <v>150</v>
      </c>
      <c r="P48" s="326" t="str">
        <f>IF(NOT(ISERROR(MATCH(O48,'Tabla Impacto'!$B$221:$B$223,0))),'Tabla Impacto'!$F$223&amp;"Por favor no seleccionar los criterios de impacto(Afectación Económica o presupuestal y Pérdida Reputacional)",O48)</f>
        <v xml:space="preserve">     Mayor a 500 SMLMV </v>
      </c>
      <c r="Q48" s="327" t="str">
        <f>IF(OR(P48='Tabla Impacto'!$C$11,P48='Tabla Impacto'!$D$11),"Leve",IF(OR(P48='Tabla Impacto'!$C$12,P48='Tabla Impacto'!$D$12),"Menor",IF(OR(P48='Tabla Impacto'!$C$13,P48='Tabla Impacto'!$D$13),"Moderado",IF(OR(P48='Tabla Impacto'!$C$14,P48='Tabla Impacto'!$D$14),"Mayor",IF(OR(P48='Tabla Impacto'!$C$15,P48='Tabla Impacto'!$D$15),"Catastrófico","")))))</f>
        <v>Catastrófico</v>
      </c>
      <c r="R48" s="326">
        <f>IF(Q48="","",IF(Q48="Leve",0.2,IF(Q48="Menor",0.4,IF(Q48="Moderado",0.6,IF(Q48="Mayor",0.8,IF(Q48="Catastrófico",1,))))))</f>
        <v>1</v>
      </c>
      <c r="S48" s="339" t="str">
        <f>IF(OR(AND(M48="Muy Baja",Q48="Leve"),AND(M48="Muy Baja",Q48="Menor"),AND(M48="Baja",Q48="Leve")),"Bajo",IF(OR(AND(M48="Muy baja",Q48="Moderado"),AND(M48="Baja",Q48="Menor"),AND(M48="Baja",Q48="Moderado"),AND(M48="Media",Q48="Leve"),AND(M48="Media",Q48="Menor"),AND(M48="Media",Q48="Moderado"),AND(M48="Alta",Q48="Leve"),AND(M48="Alta",Q48="Menor")),"Moderado",IF(OR(AND(M48="Muy Baja",Q48="Mayor"),AND(M48="Baja",Q48="Mayor"),AND(M48="Media",Q48="Mayor"),AND(M48="Alta",Q48="Moderado"),AND(M48="Alta",Q48="Mayor"),AND(M48="Muy Alta",Q48="Leve"),AND(M48="Muy Alta",Q48="Menor"),AND(M48="Muy Alta",Q48="Moderado"),AND(M48="Muy Alta",Q48="Mayor")),"Alto",IF(OR(AND(M48="Muy Baja",Q48="Catastrófico"),AND(M48="Baja",Q48="Catastrófico"),AND(M48="Media",Q48="Catastrófico"),AND(M48="Alta",Q48="Catastrófico"),AND(M48="Muy Alta",Q48="Catastrófico")),"Extremo",""))))</f>
        <v>Extremo</v>
      </c>
      <c r="T48" s="172">
        <v>1</v>
      </c>
      <c r="U48" s="194" t="s">
        <v>405</v>
      </c>
      <c r="V48" s="173" t="str">
        <f>IF(OR(W48="Preventivo",W48="Detectivo"),"Probabilidad",IF(W48="Correctivo","Impacto",""))</f>
        <v>Probabilidad</v>
      </c>
      <c r="W48" s="197" t="s">
        <v>14</v>
      </c>
      <c r="X48" s="174" t="s">
        <v>10</v>
      </c>
      <c r="Y48" s="175" t="str">
        <f>IF(AND(W48="Preventivo",X48="Automático"),"50%",IF(AND(W48="Preventivo",X48="Manual"),"40%",IF(AND(W48="Detectivo",X48="Automático"),"40%",IF(AND(W48="Detectivo",X48="Manual"),"30%",IF(AND(W48="Correctivo",X48="Automático"),"35%",IF(AND(W48="Correctivo",X48="Manual"),"25%",""))))))</f>
        <v>50%</v>
      </c>
      <c r="Z48" s="174" t="s">
        <v>19</v>
      </c>
      <c r="AA48" s="174" t="s">
        <v>22</v>
      </c>
      <c r="AB48" s="174" t="s">
        <v>119</v>
      </c>
      <c r="AC48" s="176">
        <f>IFERROR(IF(V48="Probabilidad",(N48-(+N48*Y48)),IF(V48="Impacto",N48,"")),"")</f>
        <v>0.3</v>
      </c>
      <c r="AD48" s="177" t="str">
        <f>IFERROR(IF(AC48="","",IF(AC48&lt;=0.2,"Muy Baja",IF(AC48&lt;=0.4,"Baja",IF(AC48&lt;=0.6,"Media",IF(AC48&lt;=0.8,"Alta","Muy Alta"))))),"")</f>
        <v>Baja</v>
      </c>
      <c r="AE48" s="178">
        <f>+AC48</f>
        <v>0.3</v>
      </c>
      <c r="AF48" s="177" t="str">
        <f>IFERROR(IF(AG48="","",IF(AG48&lt;=0.2,"Leve",IF(AG48&lt;=0.4,"Menor",IF(AG48&lt;=0.6,"Moderado",IF(AG48&lt;=0.8,"Mayor","Catastrófico"))))),"")</f>
        <v>Catastrófico</v>
      </c>
      <c r="AG48" s="178">
        <f>IFERROR(IF(V48="Impacto",(R48-(+R48*Y48)),IF(V48="Probabilidad",R48,"")),"")</f>
        <v>1</v>
      </c>
      <c r="AH48" s="179" t="str">
        <f>IFERROR(IF(OR(AND(AD48="Muy Baja",AF48="Leve"),AND(AD48="Muy Baja",AF48="Menor"),AND(AD48="Baja",AF48="Leve")),"Bajo",IF(OR(AND(AD48="Muy baja",AF48="Moderado"),AND(AD48="Baja",AF48="Menor"),AND(AD48="Baja",AF48="Moderado"),AND(AD48="Media",AF48="Leve"),AND(AD48="Media",AF48="Menor"),AND(AD48="Media",AF48="Moderado"),AND(AD48="Alta",AF48="Leve"),AND(AD48="Alta",AF48="Menor")),"Moderado",IF(OR(AND(AD48="Muy Baja",AF48="Mayor"),AND(AD48="Baja",AF48="Mayor"),AND(AD48="Media",AF48="Mayor"),AND(AD48="Alta",AF48="Moderado"),AND(AD48="Alta",AF48="Mayor"),AND(AD48="Muy Alta",AF48="Leve"),AND(AD48="Muy Alta",AF48="Menor"),AND(AD48="Muy Alta",AF48="Moderado"),AND(AD48="Muy Alta",AF48="Mayor")),"Alto",IF(OR(AND(AD48="Muy Baja",AF48="Catastrófico"),AND(AD48="Baja",AF48="Catastrófico"),AND(AD48="Media",AF48="Catastrófico"),AND(AD48="Alta",AF48="Catastrófico"),AND(AD48="Muy Alta",AF48="Catastrófico")),"Extremo","")))),"")</f>
        <v>Extremo</v>
      </c>
      <c r="AI48" s="180" t="s">
        <v>32</v>
      </c>
      <c r="AJ48" s="345" t="s">
        <v>423</v>
      </c>
      <c r="AK48" s="328" t="s">
        <v>303</v>
      </c>
      <c r="AL48" s="410">
        <v>44928</v>
      </c>
      <c r="AM48" s="414" t="s">
        <v>441</v>
      </c>
      <c r="AN48" s="426" t="s">
        <v>220</v>
      </c>
      <c r="AO48" s="328" t="s">
        <v>421</v>
      </c>
      <c r="AP48" s="421" t="s">
        <v>433</v>
      </c>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49"/>
      <c r="BR48" s="149"/>
      <c r="BS48" s="149"/>
      <c r="BT48" s="149"/>
      <c r="BU48" s="149"/>
    </row>
    <row r="49" spans="1:73" s="170" customFormat="1" ht="106.5" customHeight="1" x14ac:dyDescent="0.2">
      <c r="A49" s="389"/>
      <c r="B49" s="334"/>
      <c r="C49" s="334"/>
      <c r="D49" s="331"/>
      <c r="E49" s="331"/>
      <c r="F49" s="390"/>
      <c r="G49" s="342"/>
      <c r="H49" s="340"/>
      <c r="I49" s="338"/>
      <c r="J49" s="321"/>
      <c r="K49" s="331"/>
      <c r="L49" s="332"/>
      <c r="M49" s="327"/>
      <c r="N49" s="326"/>
      <c r="O49" s="333"/>
      <c r="P49" s="326">
        <f>IF(NOT(ISERROR(MATCH(O49,_xlfn.ANCHORARRAY(I60),0))),N62&amp;"Por favor no seleccionar los criterios de impacto",O49)</f>
        <v>0</v>
      </c>
      <c r="Q49" s="327"/>
      <c r="R49" s="326"/>
      <c r="S49" s="339"/>
      <c r="T49" s="172">
        <v>2</v>
      </c>
      <c r="U49" s="194" t="s">
        <v>432</v>
      </c>
      <c r="V49" s="173" t="str">
        <f>IF(OR(W49="Preventivo",W49="Detectivo"),"Probabilidad",IF(W49="Correctivo","Impacto",""))</f>
        <v>Probabilidad</v>
      </c>
      <c r="W49" s="197" t="s">
        <v>14</v>
      </c>
      <c r="X49" s="174" t="s">
        <v>10</v>
      </c>
      <c r="Y49" s="175" t="str">
        <f t="shared" ref="Y49:Y53" si="43">IF(AND(W49="Preventivo",X49="Automático"),"50%",IF(AND(W49="Preventivo",X49="Manual"),"40%",IF(AND(W49="Detectivo",X49="Automático"),"40%",IF(AND(W49="Detectivo",X49="Manual"),"30%",IF(AND(W49="Correctivo",X49="Automático"),"35%",IF(AND(W49="Correctivo",X49="Manual"),"25%",""))))))</f>
        <v>50%</v>
      </c>
      <c r="Z49" s="174" t="s">
        <v>19</v>
      </c>
      <c r="AA49" s="174" t="s">
        <v>22</v>
      </c>
      <c r="AB49" s="174" t="s">
        <v>119</v>
      </c>
      <c r="AC49" s="176">
        <f>IFERROR(IF(AND(V48="Probabilidad",V49="Probabilidad"),(AE48-(+AE48*Y49)),IF(V49="Probabilidad",(N48-(+N48*Y49)),IF(V49="Impacto",AE48,""))),"")</f>
        <v>0.15</v>
      </c>
      <c r="AD49" s="177" t="str">
        <f t="shared" si="1"/>
        <v>Muy Baja</v>
      </c>
      <c r="AE49" s="178">
        <f t="shared" ref="AE49:AE53" si="44">+AC49</f>
        <v>0.15</v>
      </c>
      <c r="AF49" s="177" t="str">
        <f t="shared" si="3"/>
        <v>Catastrófico</v>
      </c>
      <c r="AG49" s="178">
        <f>IFERROR(IF(AND(V48="Impacto",V49="Impacto"),(AG48-(+AG48*Y49)),IF(V49="Impacto",(R48-(+R48*Y49)),IF(V49="Probabilidad",AG48,""))),"")</f>
        <v>1</v>
      </c>
      <c r="AH49" s="179" t="str">
        <f t="shared" ref="AH49:AH50" si="45">IFERROR(IF(OR(AND(AD49="Muy Baja",AF49="Leve"),AND(AD49="Muy Baja",AF49="Menor"),AND(AD49="Baja",AF49="Leve")),"Bajo",IF(OR(AND(AD49="Muy baja",AF49="Moderado"),AND(AD49="Baja",AF49="Menor"),AND(AD49="Baja",AF49="Moderado"),AND(AD49="Media",AF49="Leve"),AND(AD49="Media",AF49="Menor"),AND(AD49="Media",AF49="Moderado"),AND(AD49="Alta",AF49="Leve"),AND(AD49="Alta",AF49="Menor")),"Moderado",IF(OR(AND(AD49="Muy Baja",AF49="Mayor"),AND(AD49="Baja",AF49="Mayor"),AND(AD49="Media",AF49="Mayor"),AND(AD49="Alta",AF49="Moderado"),AND(AD49="Alta",AF49="Mayor"),AND(AD49="Muy Alta",AF49="Leve"),AND(AD49="Muy Alta",AF49="Menor"),AND(AD49="Muy Alta",AF49="Moderado"),AND(AD49="Muy Alta",AF49="Mayor")),"Alto",IF(OR(AND(AD49="Muy Baja",AF49="Catastrófico"),AND(AD49="Baja",AF49="Catastrófico"),AND(AD49="Media",AF49="Catastrófico"),AND(AD49="Alta",AF49="Catastrófico"),AND(AD49="Muy Alta",AF49="Catastrófico")),"Extremo","")))),"")</f>
        <v>Extremo</v>
      </c>
      <c r="AI49" s="180" t="s">
        <v>32</v>
      </c>
      <c r="AJ49" s="345"/>
      <c r="AK49" s="328"/>
      <c r="AL49" s="410"/>
      <c r="AM49" s="415"/>
      <c r="AN49" s="426"/>
      <c r="AO49" s="328"/>
      <c r="AP49" s="401"/>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49"/>
      <c r="BR49" s="149"/>
      <c r="BS49" s="149"/>
      <c r="BT49" s="149"/>
      <c r="BU49" s="149"/>
    </row>
    <row r="50" spans="1:73" s="170" customFormat="1" ht="117.75" customHeight="1" x14ac:dyDescent="0.2">
      <c r="A50" s="389"/>
      <c r="B50" s="334"/>
      <c r="C50" s="334"/>
      <c r="D50" s="331"/>
      <c r="E50" s="331"/>
      <c r="F50" s="390"/>
      <c r="G50" s="342"/>
      <c r="H50" s="340"/>
      <c r="I50" s="338"/>
      <c r="J50" s="321"/>
      <c r="K50" s="331"/>
      <c r="L50" s="332"/>
      <c r="M50" s="327"/>
      <c r="N50" s="326"/>
      <c r="O50" s="333"/>
      <c r="P50" s="326">
        <f>IF(NOT(ISERROR(MATCH(O50,_xlfn.ANCHORARRAY(I61),0))),N63&amp;"Por favor no seleccionar los criterios de impacto",O50)</f>
        <v>0</v>
      </c>
      <c r="Q50" s="327"/>
      <c r="R50" s="326"/>
      <c r="S50" s="339"/>
      <c r="T50" s="172">
        <v>3</v>
      </c>
      <c r="U50" s="194" t="s">
        <v>406</v>
      </c>
      <c r="V50" s="173" t="str">
        <f>IF(OR(W50="Preventivo",W50="Detectivo"),"Probabilidad",IF(W50="Correctivo","Impacto",""))</f>
        <v>Probabilidad</v>
      </c>
      <c r="W50" s="197" t="s">
        <v>15</v>
      </c>
      <c r="X50" s="174" t="s">
        <v>10</v>
      </c>
      <c r="Y50" s="175" t="str">
        <f t="shared" si="43"/>
        <v>40%</v>
      </c>
      <c r="Z50" s="174" t="s">
        <v>19</v>
      </c>
      <c r="AA50" s="174" t="s">
        <v>22</v>
      </c>
      <c r="AB50" s="174" t="s">
        <v>119</v>
      </c>
      <c r="AC50" s="176">
        <f>IFERROR(IF(AND(V49="Probabilidad",V50="Probabilidad"),(AE49-(+AE49*Y50)),IF(AND(V49="Impacto",V50="Probabilidad"),(AE48-(+AE48*Y50)),IF(V50="Impacto",AE49,""))),"")</f>
        <v>0.09</v>
      </c>
      <c r="AD50" s="177" t="str">
        <f t="shared" si="1"/>
        <v>Muy Baja</v>
      </c>
      <c r="AE50" s="178">
        <f t="shared" si="44"/>
        <v>0.09</v>
      </c>
      <c r="AF50" s="177" t="str">
        <f t="shared" si="3"/>
        <v>Catastrófico</v>
      </c>
      <c r="AG50" s="178">
        <f>IFERROR(IF(AND(V49="Impacto",V50="Impacto"),(AG49-(+AG49*Y50)),IF(AND(V49="Probabilidad",V50="Impacto"),(AG48-(+AG48*Y50)),IF(V50="Probabilidad",AG49,""))),"")</f>
        <v>1</v>
      </c>
      <c r="AH50" s="179" t="str">
        <f t="shared" si="45"/>
        <v>Extremo</v>
      </c>
      <c r="AI50" s="180" t="s">
        <v>32</v>
      </c>
      <c r="AJ50" s="345"/>
      <c r="AK50" s="328"/>
      <c r="AL50" s="410"/>
      <c r="AM50" s="415"/>
      <c r="AN50" s="426"/>
      <c r="AO50" s="328"/>
      <c r="AP50" s="401"/>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49"/>
      <c r="BR50" s="149"/>
      <c r="BS50" s="149"/>
      <c r="BT50" s="149"/>
      <c r="BU50" s="149"/>
    </row>
    <row r="51" spans="1:73" s="170" customFormat="1" ht="109.5" customHeight="1" x14ac:dyDescent="0.2">
      <c r="A51" s="389"/>
      <c r="B51" s="334"/>
      <c r="C51" s="334"/>
      <c r="D51" s="331"/>
      <c r="E51" s="331"/>
      <c r="F51" s="390"/>
      <c r="G51" s="342"/>
      <c r="H51" s="340"/>
      <c r="I51" s="338"/>
      <c r="J51" s="321"/>
      <c r="K51" s="331"/>
      <c r="L51" s="332"/>
      <c r="M51" s="327"/>
      <c r="N51" s="326"/>
      <c r="O51" s="333"/>
      <c r="P51" s="326">
        <f>IF(NOT(ISERROR(MATCH(O51,_xlfn.ANCHORARRAY(I62),0))),N64&amp;"Por favor no seleccionar los criterios de impacto",O51)</f>
        <v>0</v>
      </c>
      <c r="Q51" s="327"/>
      <c r="R51" s="326"/>
      <c r="S51" s="339"/>
      <c r="T51" s="172">
        <v>4</v>
      </c>
      <c r="U51" s="194" t="s">
        <v>431</v>
      </c>
      <c r="V51" s="173" t="str">
        <f t="shared" ref="V51:V53" si="46">IF(OR(W51="Preventivo",W51="Detectivo"),"Probabilidad",IF(W51="Correctivo","Impacto",""))</f>
        <v>Impacto</v>
      </c>
      <c r="W51" s="174" t="s">
        <v>16</v>
      </c>
      <c r="X51" s="174" t="s">
        <v>10</v>
      </c>
      <c r="Y51" s="175" t="str">
        <f t="shared" si="43"/>
        <v>35%</v>
      </c>
      <c r="Z51" s="174" t="s">
        <v>19</v>
      </c>
      <c r="AA51" s="174" t="s">
        <v>22</v>
      </c>
      <c r="AB51" s="174" t="s">
        <v>119</v>
      </c>
      <c r="AC51" s="176">
        <f t="shared" ref="AC51:AC53" si="47">IFERROR(IF(AND(V50="Probabilidad",V51="Probabilidad"),(AE50-(+AE50*Y51)),IF(AND(V50="Impacto",V51="Probabilidad"),(AE49-(+AE49*Y51)),IF(V51="Impacto",AE50,""))),"")</f>
        <v>0.09</v>
      </c>
      <c r="AD51" s="177" t="str">
        <f t="shared" si="1"/>
        <v>Muy Baja</v>
      </c>
      <c r="AE51" s="178">
        <f t="shared" si="44"/>
        <v>0.09</v>
      </c>
      <c r="AF51" s="177" t="str">
        <f t="shared" si="3"/>
        <v>Mayor</v>
      </c>
      <c r="AG51" s="178">
        <f t="shared" ref="AG51:AG53" si="48">IFERROR(IF(AND(V50="Impacto",V51="Impacto"),(AG50-(+AG50*Y51)),IF(AND(V50="Probabilidad",V51="Impacto"),(AG49-(+AG49*Y51)),IF(V51="Probabilidad",AG50,""))),"")</f>
        <v>0.65</v>
      </c>
      <c r="AH51" s="179" t="str">
        <f>IFERROR(IF(OR(AND(AD51="Muy Baja",AF51="Leve"),AND(AD51="Muy Baja",AF51="Menor"),AND(AD51="Baja",AF51="Leve")),"Bajo",IF(OR(AND(AD51="Muy baja",AF51="Moderado"),AND(AD51="Baja",AF51="Menor"),AND(AD51="Baja",AF51="Moderado"),AND(AD51="Media",AF51="Leve"),AND(AD51="Media",AF51="Menor"),AND(AD51="Media",AF51="Moderado"),AND(AD51="Alta",AF51="Leve"),AND(AD51="Alta",AF51="Menor")),"Moderado",IF(OR(AND(AD51="Muy Baja",AF51="Mayor"),AND(AD51="Baja",AF51="Mayor"),AND(AD51="Media",AF51="Mayor"),AND(AD51="Alta",AF51="Moderado"),AND(AD51="Alta",AF51="Mayor"),AND(AD51="Muy Alta",AF51="Leve"),AND(AD51="Muy Alta",AF51="Menor"),AND(AD51="Muy Alta",AF51="Moderado"),AND(AD51="Muy Alta",AF51="Mayor")),"Alto",IF(OR(AND(AD51="Muy Baja",AF51="Catastrófico"),AND(AD51="Baja",AF51="Catastrófico"),AND(AD51="Media",AF51="Catastrófico"),AND(AD51="Alta",AF51="Catastrófico"),AND(AD51="Muy Alta",AF51="Catastrófico")),"Extremo","")))),"")</f>
        <v>Alto</v>
      </c>
      <c r="AI51" s="180" t="s">
        <v>32</v>
      </c>
      <c r="AJ51" s="345"/>
      <c r="AK51" s="328"/>
      <c r="AL51" s="410"/>
      <c r="AM51" s="415"/>
      <c r="AN51" s="426"/>
      <c r="AO51" s="328"/>
      <c r="AP51" s="401"/>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49"/>
      <c r="BR51" s="149"/>
      <c r="BS51" s="149"/>
      <c r="BT51" s="149"/>
      <c r="BU51" s="149"/>
    </row>
    <row r="52" spans="1:73" s="170" customFormat="1" ht="94.5" customHeight="1" x14ac:dyDescent="0.2">
      <c r="A52" s="389"/>
      <c r="B52" s="334"/>
      <c r="C52" s="334"/>
      <c r="D52" s="331"/>
      <c r="E52" s="331"/>
      <c r="F52" s="390"/>
      <c r="G52" s="342"/>
      <c r="H52" s="340"/>
      <c r="I52" s="338"/>
      <c r="J52" s="321"/>
      <c r="K52" s="331"/>
      <c r="L52" s="332"/>
      <c r="M52" s="327"/>
      <c r="N52" s="326"/>
      <c r="O52" s="333"/>
      <c r="P52" s="326">
        <f>IF(NOT(ISERROR(MATCH(O52,_xlfn.ANCHORARRAY(I63),0))),N65&amp;"Por favor no seleccionar los criterios de impacto",O52)</f>
        <v>0</v>
      </c>
      <c r="Q52" s="327"/>
      <c r="R52" s="326"/>
      <c r="S52" s="339"/>
      <c r="T52" s="172">
        <v>5</v>
      </c>
      <c r="U52" s="193"/>
      <c r="V52" s="173" t="str">
        <f t="shared" si="46"/>
        <v/>
      </c>
      <c r="W52" s="174"/>
      <c r="X52" s="174"/>
      <c r="Y52" s="175" t="str">
        <f t="shared" si="43"/>
        <v/>
      </c>
      <c r="Z52" s="174"/>
      <c r="AA52" s="174"/>
      <c r="AB52" s="174"/>
      <c r="AC52" s="176" t="str">
        <f t="shared" si="47"/>
        <v/>
      </c>
      <c r="AD52" s="177" t="str">
        <f t="shared" si="1"/>
        <v/>
      </c>
      <c r="AE52" s="178" t="str">
        <f t="shared" si="44"/>
        <v/>
      </c>
      <c r="AF52" s="177" t="str">
        <f t="shared" si="3"/>
        <v/>
      </c>
      <c r="AG52" s="178" t="str">
        <f t="shared" si="48"/>
        <v/>
      </c>
      <c r="AH52" s="179" t="str">
        <f t="shared" ref="AH52:AH53" si="49">IFERROR(IF(OR(AND(AD52="Muy Baja",AF52="Leve"),AND(AD52="Muy Baja",AF52="Menor"),AND(AD52="Baja",AF52="Leve")),"Bajo",IF(OR(AND(AD52="Muy baja",AF52="Moderado"),AND(AD52="Baja",AF52="Menor"),AND(AD52="Baja",AF52="Moderado"),AND(AD52="Media",AF52="Leve"),AND(AD52="Media",AF52="Menor"),AND(AD52="Media",AF52="Moderado"),AND(AD52="Alta",AF52="Leve"),AND(AD52="Alta",AF52="Menor")),"Moderado",IF(OR(AND(AD52="Muy Baja",AF52="Mayor"),AND(AD52="Baja",AF52="Mayor"),AND(AD52="Media",AF52="Mayor"),AND(AD52="Alta",AF52="Moderado"),AND(AD52="Alta",AF52="Mayor"),AND(AD52="Muy Alta",AF52="Leve"),AND(AD52="Muy Alta",AF52="Menor"),AND(AD52="Muy Alta",AF52="Moderado"),AND(AD52="Muy Alta",AF52="Mayor")),"Alto",IF(OR(AND(AD52="Muy Baja",AF52="Catastrófico"),AND(AD52="Baja",AF52="Catastrófico"),AND(AD52="Media",AF52="Catastrófico"),AND(AD52="Alta",AF52="Catastrófico"),AND(AD52="Muy Alta",AF52="Catastrófico")),"Extremo","")))),"")</f>
        <v/>
      </c>
      <c r="AI52" s="180"/>
      <c r="AJ52" s="345"/>
      <c r="AK52" s="328"/>
      <c r="AL52" s="410"/>
      <c r="AM52" s="415"/>
      <c r="AN52" s="426"/>
      <c r="AO52" s="328"/>
      <c r="AP52" s="401"/>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row>
    <row r="53" spans="1:73" s="170" customFormat="1" ht="70.5" customHeight="1" x14ac:dyDescent="0.2">
      <c r="A53" s="389"/>
      <c r="B53" s="334"/>
      <c r="C53" s="334"/>
      <c r="D53" s="331"/>
      <c r="E53" s="331"/>
      <c r="F53" s="390"/>
      <c r="G53" s="343"/>
      <c r="H53" s="340"/>
      <c r="I53" s="338"/>
      <c r="J53" s="322"/>
      <c r="K53" s="331"/>
      <c r="L53" s="332"/>
      <c r="M53" s="327"/>
      <c r="N53" s="326"/>
      <c r="O53" s="333"/>
      <c r="P53" s="326">
        <f>IF(NOT(ISERROR(MATCH(O53,_xlfn.ANCHORARRAY(I64),0))),N66&amp;"Por favor no seleccionar los criterios de impacto",O53)</f>
        <v>0</v>
      </c>
      <c r="Q53" s="327"/>
      <c r="R53" s="326"/>
      <c r="S53" s="339"/>
      <c r="T53" s="172">
        <v>6</v>
      </c>
      <c r="U53" s="182"/>
      <c r="V53" s="173" t="str">
        <f t="shared" si="46"/>
        <v/>
      </c>
      <c r="W53" s="174"/>
      <c r="X53" s="174"/>
      <c r="Y53" s="175" t="str">
        <f t="shared" si="43"/>
        <v/>
      </c>
      <c r="Z53" s="174"/>
      <c r="AA53" s="174"/>
      <c r="AB53" s="174"/>
      <c r="AC53" s="176" t="str">
        <f t="shared" si="47"/>
        <v/>
      </c>
      <c r="AD53" s="177" t="str">
        <f t="shared" si="1"/>
        <v/>
      </c>
      <c r="AE53" s="178" t="str">
        <f t="shared" si="44"/>
        <v/>
      </c>
      <c r="AF53" s="177" t="str">
        <f t="shared" si="3"/>
        <v/>
      </c>
      <c r="AG53" s="178" t="str">
        <f t="shared" si="48"/>
        <v/>
      </c>
      <c r="AH53" s="179" t="str">
        <f t="shared" si="49"/>
        <v/>
      </c>
      <c r="AI53" s="180"/>
      <c r="AJ53" s="346"/>
      <c r="AK53" s="329"/>
      <c r="AL53" s="411"/>
      <c r="AM53" s="416"/>
      <c r="AN53" s="427"/>
      <c r="AO53" s="329"/>
      <c r="AP53" s="401"/>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49"/>
      <c r="BR53" s="149"/>
      <c r="BS53" s="149"/>
      <c r="BT53" s="149"/>
      <c r="BU53" s="149"/>
    </row>
    <row r="54" spans="1:73" s="170" customFormat="1" ht="101.25" customHeight="1" x14ac:dyDescent="0.2">
      <c r="A54" s="389">
        <v>8</v>
      </c>
      <c r="B54" s="391" t="s">
        <v>232</v>
      </c>
      <c r="C54" s="335" t="s">
        <v>247</v>
      </c>
      <c r="D54" s="331" t="s">
        <v>133</v>
      </c>
      <c r="E54" s="341" t="s">
        <v>410</v>
      </c>
      <c r="F54" s="341" t="s">
        <v>409</v>
      </c>
      <c r="G54" s="344" t="s">
        <v>408</v>
      </c>
      <c r="H54" s="344" t="s">
        <v>407</v>
      </c>
      <c r="I54" s="323" t="s">
        <v>485</v>
      </c>
      <c r="J54" s="323" t="s">
        <v>411</v>
      </c>
      <c r="K54" s="331" t="s">
        <v>123</v>
      </c>
      <c r="L54" s="332">
        <v>120</v>
      </c>
      <c r="M54" s="327" t="str">
        <f>IF(L54&lt;=0,"",IF(L54&lt;=2,"Muy Baja",IF(L54&lt;=24,"Baja",IF(L54&lt;=500,"Media",IF(L54&lt;=5000,"Alta","Muy Alta")))))</f>
        <v>Media</v>
      </c>
      <c r="N54" s="326">
        <f>IF(M54="","",IF(M54="Muy Baja",0.2,IF(M54="Baja",0.4,IF(M54="Media",0.6,IF(M54="Alta",0.8,IF(M54="Muy Alta",1,))))))</f>
        <v>0.6</v>
      </c>
      <c r="O54" s="333" t="s">
        <v>147</v>
      </c>
      <c r="P54" s="326" t="str">
        <f>IF(NOT(ISERROR(MATCH(O54,'Tabla Impacto'!$B$221:$B$223,0))),'Tabla Impacto'!$F$223&amp;"Por favor no seleccionar los criterios de impacto(Afectación Económica o presupuestal y Pérdida Reputacional)",O54)</f>
        <v xml:space="preserve">     Entre 50 y 100 SMLMV </v>
      </c>
      <c r="Q54" s="327" t="str">
        <f>IF(OR(P54='Tabla Impacto'!$C$11,P54='Tabla Impacto'!$D$11),"Leve",IF(OR(P54='Tabla Impacto'!$C$12,P54='Tabla Impacto'!$D$12),"Menor",IF(OR(P54='Tabla Impacto'!$C$13,P54='Tabla Impacto'!$D$13),"Moderado",IF(OR(P54='Tabla Impacto'!$C$14,P54='Tabla Impacto'!$D$14),"Mayor",IF(OR(P54='Tabla Impacto'!$C$15,P54='Tabla Impacto'!$D$15),"Catastrófico","")))))</f>
        <v>Moderado</v>
      </c>
      <c r="R54" s="326">
        <f>IF(Q54="","",IF(Q54="Leve",0.2,IF(Q54="Menor",0.4,IF(Q54="Moderado",0.6,IF(Q54="Mayor",0.8,IF(Q54="Catastrófico",1,))))))</f>
        <v>0.6</v>
      </c>
      <c r="S54" s="339" t="str">
        <f>IF(OR(AND(M54="Muy Baja",Q54="Leve"),AND(M54="Muy Baja",Q54="Menor"),AND(M54="Baja",Q54="Leve")),"Bajo",IF(OR(AND(M54="Muy baja",Q54="Moderado"),AND(M54="Baja",Q54="Menor"),AND(M54="Baja",Q54="Moderado"),AND(M54="Media",Q54="Leve"),AND(M54="Media",Q54="Menor"),AND(M54="Media",Q54="Moderado"),AND(M54="Alta",Q54="Leve"),AND(M54="Alta",Q54="Menor")),"Moderado",IF(OR(AND(M54="Muy Baja",Q54="Mayor"),AND(M54="Baja",Q54="Mayor"),AND(M54="Media",Q54="Mayor"),AND(M54="Alta",Q54="Moderado"),AND(M54="Alta",Q54="Mayor"),AND(M54="Muy Alta",Q54="Leve"),AND(M54="Muy Alta",Q54="Menor"),AND(M54="Muy Alta",Q54="Moderado"),AND(M54="Muy Alta",Q54="Mayor")),"Alto",IF(OR(AND(M54="Muy Baja",Q54="Catastrófico"),AND(M54="Baja",Q54="Catastrófico"),AND(M54="Media",Q54="Catastrófico"),AND(M54="Alta",Q54="Catastrófico"),AND(M54="Muy Alta",Q54="Catastrófico")),"Extremo",""))))</f>
        <v>Moderado</v>
      </c>
      <c r="T54" s="172">
        <v>1</v>
      </c>
      <c r="U54" s="193" t="s">
        <v>422</v>
      </c>
      <c r="V54" s="173" t="str">
        <f>IF(OR(W54="Preventivo",W54="Detectivo"),"Probabilidad",IF(W54="Correctivo","Impacto",""))</f>
        <v>Probabilidad</v>
      </c>
      <c r="W54" s="197" t="s">
        <v>14</v>
      </c>
      <c r="X54" s="174" t="s">
        <v>9</v>
      </c>
      <c r="Y54" s="175" t="str">
        <f>IF(AND(W54="Preventivo",X54="Automático"),"50%",IF(AND(W54="Preventivo",X54="Manual"),"40%",IF(AND(W54="Detectivo",X54="Automático"),"40%",IF(AND(W54="Detectivo",X54="Manual"),"30%",IF(AND(W54="Correctivo",X54="Automático"),"35%",IF(AND(W54="Correctivo",X54="Manual"),"25%",""))))))</f>
        <v>40%</v>
      </c>
      <c r="Z54" s="174" t="s">
        <v>19</v>
      </c>
      <c r="AA54" s="174" t="s">
        <v>22</v>
      </c>
      <c r="AB54" s="174" t="s">
        <v>119</v>
      </c>
      <c r="AC54" s="176">
        <f>IFERROR(IF(V54="Probabilidad",(N54-(+N54*Y54)),IF(V54="Impacto",N54,"")),"")</f>
        <v>0.36</v>
      </c>
      <c r="AD54" s="177" t="str">
        <f>IFERROR(IF(AC54="","",IF(AC54&lt;=0.2,"Muy Baja",IF(AC54&lt;=0.4,"Baja",IF(AC54&lt;=0.6,"Media",IF(AC54&lt;=0.8,"Alta","Muy Alta"))))),"")</f>
        <v>Baja</v>
      </c>
      <c r="AE54" s="178">
        <f>+AC54</f>
        <v>0.36</v>
      </c>
      <c r="AF54" s="177" t="str">
        <f>IFERROR(IF(AG54="","",IF(AG54&lt;=0.2,"Leve",IF(AG54&lt;=0.4,"Menor",IF(AG54&lt;=0.6,"Moderado",IF(AG54&lt;=0.8,"Mayor","Catastrófico"))))),"")</f>
        <v>Moderado</v>
      </c>
      <c r="AG54" s="178">
        <f>IFERROR(IF(V54="Impacto",(R54-(+R54*Y54)),IF(V54="Probabilidad",R54,"")),"")</f>
        <v>0.6</v>
      </c>
      <c r="AH54" s="179" t="str">
        <f>IFERROR(IF(OR(AND(AD54="Muy Baja",AF54="Leve"),AND(AD54="Muy Baja",AF54="Menor"),AND(AD54="Baja",AF54="Leve")),"Bajo",IF(OR(AND(AD54="Muy baja",AF54="Moderado"),AND(AD54="Baja",AF54="Menor"),AND(AD54="Baja",AF54="Moderado"),AND(AD54="Media",AF54="Leve"),AND(AD54="Media",AF54="Menor"),AND(AD54="Media",AF54="Moderado"),AND(AD54="Alta",AF54="Leve"),AND(AD54="Alta",AF54="Menor")),"Moderado",IF(OR(AND(AD54="Muy Baja",AF54="Mayor"),AND(AD54="Baja",AF54="Mayor"),AND(AD54="Media",AF54="Mayor"),AND(AD54="Alta",AF54="Moderado"),AND(AD54="Alta",AF54="Mayor"),AND(AD54="Muy Alta",AF54="Leve"),AND(AD54="Muy Alta",AF54="Menor"),AND(AD54="Muy Alta",AF54="Moderado"),AND(AD54="Muy Alta",AF54="Mayor")),"Alto",IF(OR(AND(AD54="Muy Baja",AF54="Catastrófico"),AND(AD54="Baja",AF54="Catastrófico"),AND(AD54="Media",AF54="Catastrófico"),AND(AD54="Alta",AF54="Catastrófico"),AND(AD54="Muy Alta",AF54="Catastrófico")),"Extremo","")))),"")</f>
        <v>Moderado</v>
      </c>
      <c r="AI54" s="180" t="s">
        <v>32</v>
      </c>
      <c r="AJ54" s="341" t="s">
        <v>424</v>
      </c>
      <c r="AK54" s="330" t="s">
        <v>303</v>
      </c>
      <c r="AL54" s="412">
        <v>44928</v>
      </c>
      <c r="AM54" s="417" t="s">
        <v>441</v>
      </c>
      <c r="AN54" s="428" t="s">
        <v>220</v>
      </c>
      <c r="AO54" s="330" t="s">
        <v>421</v>
      </c>
      <c r="AP54" s="401" t="s">
        <v>425</v>
      </c>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row>
    <row r="55" spans="1:73" s="170" customFormat="1" ht="102" customHeight="1" x14ac:dyDescent="0.2">
      <c r="A55" s="389"/>
      <c r="B55" s="392"/>
      <c r="C55" s="336"/>
      <c r="D55" s="331"/>
      <c r="E55" s="342"/>
      <c r="F55" s="342"/>
      <c r="G55" s="345"/>
      <c r="H55" s="345"/>
      <c r="I55" s="324"/>
      <c r="J55" s="324"/>
      <c r="K55" s="331"/>
      <c r="L55" s="332"/>
      <c r="M55" s="327"/>
      <c r="N55" s="326"/>
      <c r="O55" s="333"/>
      <c r="P55" s="326">
        <f>IF(NOT(ISERROR(MATCH(O55,_xlfn.ANCHORARRAY(I66),0))),N68&amp;"Por favor no seleccionar los criterios de impacto",O55)</f>
        <v>0</v>
      </c>
      <c r="Q55" s="327"/>
      <c r="R55" s="326"/>
      <c r="S55" s="339"/>
      <c r="T55" s="172">
        <v>2</v>
      </c>
      <c r="U55" s="193" t="s">
        <v>434</v>
      </c>
      <c r="V55" s="173" t="str">
        <f>IF(OR(W55="Preventivo",W55="Detectivo"),"Probabilidad",IF(W55="Correctivo","Impacto",""))</f>
        <v>Probabilidad</v>
      </c>
      <c r="W55" s="197" t="s">
        <v>14</v>
      </c>
      <c r="X55" s="174" t="s">
        <v>9</v>
      </c>
      <c r="Y55" s="175" t="str">
        <f t="shared" ref="Y55:Y59" si="50">IF(AND(W55="Preventivo",X55="Automático"),"50%",IF(AND(W55="Preventivo",X55="Manual"),"40%",IF(AND(W55="Detectivo",X55="Automático"),"40%",IF(AND(W55="Detectivo",X55="Manual"),"30%",IF(AND(W55="Correctivo",X55="Automático"),"35%",IF(AND(W55="Correctivo",X55="Manual"),"25%",""))))))</f>
        <v>40%</v>
      </c>
      <c r="Z55" s="174" t="s">
        <v>19</v>
      </c>
      <c r="AA55" s="174" t="s">
        <v>22</v>
      </c>
      <c r="AB55" s="174" t="s">
        <v>119</v>
      </c>
      <c r="AC55" s="176">
        <f>IFERROR(IF(AND(V54="Probabilidad",V55="Probabilidad"),(AE54-(+AE54*Y55)),IF(V55="Probabilidad",(N54-(+N54*Y55)),IF(V55="Impacto",AE54,""))),"")</f>
        <v>0.216</v>
      </c>
      <c r="AD55" s="177" t="str">
        <f t="shared" si="1"/>
        <v>Baja</v>
      </c>
      <c r="AE55" s="178">
        <f t="shared" ref="AE55:AE59" si="51">+AC55</f>
        <v>0.216</v>
      </c>
      <c r="AF55" s="177" t="str">
        <f t="shared" si="3"/>
        <v>Moderado</v>
      </c>
      <c r="AG55" s="178">
        <f>IFERROR(IF(AND(V54="Impacto",V55="Impacto"),(AG54-(+AG54*Y55)),IF(V55="Impacto",(R54-(+R54*Y55)),IF(V55="Probabilidad",AG54,""))),"")</f>
        <v>0.6</v>
      </c>
      <c r="AH55" s="179" t="str">
        <f t="shared" ref="AH55:AH56" si="52">IFERROR(IF(OR(AND(AD55="Muy Baja",AF55="Leve"),AND(AD55="Muy Baja",AF55="Menor"),AND(AD55="Baja",AF55="Leve")),"Bajo",IF(OR(AND(AD55="Muy baja",AF55="Moderado"),AND(AD55="Baja",AF55="Menor"),AND(AD55="Baja",AF55="Moderado"),AND(AD55="Media",AF55="Leve"),AND(AD55="Media",AF55="Menor"),AND(AD55="Media",AF55="Moderado"),AND(AD55="Alta",AF55="Leve"),AND(AD55="Alta",AF55="Menor")),"Moderado",IF(OR(AND(AD55="Muy Baja",AF55="Mayor"),AND(AD55="Baja",AF55="Mayor"),AND(AD55="Media",AF55="Mayor"),AND(AD55="Alta",AF55="Moderado"),AND(AD55="Alta",AF55="Mayor"),AND(AD55="Muy Alta",AF55="Leve"),AND(AD55="Muy Alta",AF55="Menor"),AND(AD55="Muy Alta",AF55="Moderado"),AND(AD55="Muy Alta",AF55="Mayor")),"Alto",IF(OR(AND(AD55="Muy Baja",AF55="Catastrófico"),AND(AD55="Baja",AF55="Catastrófico"),AND(AD55="Media",AF55="Catastrófico"),AND(AD55="Alta",AF55="Catastrófico"),AND(AD55="Muy Alta",AF55="Catastrófico")),"Extremo","")))),"")</f>
        <v>Moderado</v>
      </c>
      <c r="AI55" s="180" t="s">
        <v>32</v>
      </c>
      <c r="AJ55" s="342"/>
      <c r="AK55" s="328"/>
      <c r="AL55" s="410"/>
      <c r="AM55" s="415"/>
      <c r="AN55" s="426"/>
      <c r="AO55" s="328"/>
      <c r="AP55" s="401"/>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row>
    <row r="56" spans="1:73" s="170" customFormat="1" ht="15" x14ac:dyDescent="0.2">
      <c r="A56" s="389"/>
      <c r="B56" s="392"/>
      <c r="C56" s="336"/>
      <c r="D56" s="331"/>
      <c r="E56" s="342"/>
      <c r="F56" s="342"/>
      <c r="G56" s="345"/>
      <c r="H56" s="345"/>
      <c r="I56" s="324"/>
      <c r="J56" s="324"/>
      <c r="K56" s="331"/>
      <c r="L56" s="332"/>
      <c r="M56" s="327"/>
      <c r="N56" s="326"/>
      <c r="O56" s="333"/>
      <c r="P56" s="326">
        <f>IF(NOT(ISERROR(MATCH(O56,_xlfn.ANCHORARRAY(I67),0))),N69&amp;"Por favor no seleccionar los criterios de impacto",O56)</f>
        <v>0</v>
      </c>
      <c r="Q56" s="327"/>
      <c r="R56" s="326"/>
      <c r="S56" s="339"/>
      <c r="T56" s="172">
        <v>3</v>
      </c>
      <c r="U56" s="193"/>
      <c r="V56" s="173" t="str">
        <f>IF(OR(W56="Preventivo",W56="Detectivo"),"Probabilidad",IF(W56="Correctivo","Impacto",""))</f>
        <v/>
      </c>
      <c r="W56" s="174"/>
      <c r="X56" s="174"/>
      <c r="Y56" s="175" t="str">
        <f t="shared" si="50"/>
        <v/>
      </c>
      <c r="Z56" s="174"/>
      <c r="AA56" s="174"/>
      <c r="AB56" s="174"/>
      <c r="AC56" s="176" t="str">
        <f>IFERROR(IF(AND(V55="Probabilidad",V56="Probabilidad"),(AE55-(+AE55*Y56)),IF(AND(V55="Impacto",V56="Probabilidad"),(AE54-(+AE54*Y56)),IF(V56="Impacto",AE55,""))),"")</f>
        <v/>
      </c>
      <c r="AD56" s="177" t="str">
        <f t="shared" si="1"/>
        <v/>
      </c>
      <c r="AE56" s="178" t="str">
        <f t="shared" si="51"/>
        <v/>
      </c>
      <c r="AF56" s="177" t="str">
        <f t="shared" si="3"/>
        <v/>
      </c>
      <c r="AG56" s="178" t="str">
        <f>IFERROR(IF(AND(V55="Impacto",V56="Impacto"),(AG55-(+AG55*Y56)),IF(AND(V55="Probabilidad",V56="Impacto"),(AG54-(+AG54*Y56)),IF(V56="Probabilidad",AG55,""))),"")</f>
        <v/>
      </c>
      <c r="AH56" s="179" t="str">
        <f t="shared" si="52"/>
        <v/>
      </c>
      <c r="AI56" s="180"/>
      <c r="AJ56" s="342"/>
      <c r="AK56" s="328"/>
      <c r="AL56" s="410"/>
      <c r="AM56" s="415"/>
      <c r="AN56" s="426"/>
      <c r="AO56" s="328"/>
      <c r="AP56" s="401"/>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49"/>
      <c r="BR56" s="149"/>
      <c r="BS56" s="149"/>
      <c r="BT56" s="149"/>
      <c r="BU56" s="149"/>
    </row>
    <row r="57" spans="1:73" s="170" customFormat="1" ht="15" x14ac:dyDescent="0.2">
      <c r="A57" s="389"/>
      <c r="B57" s="392"/>
      <c r="C57" s="336"/>
      <c r="D57" s="331"/>
      <c r="E57" s="342"/>
      <c r="F57" s="342"/>
      <c r="G57" s="345"/>
      <c r="H57" s="345"/>
      <c r="I57" s="324"/>
      <c r="J57" s="324"/>
      <c r="K57" s="331"/>
      <c r="L57" s="332"/>
      <c r="M57" s="327"/>
      <c r="N57" s="326"/>
      <c r="O57" s="333"/>
      <c r="P57" s="326">
        <f>IF(NOT(ISERROR(MATCH(O57,_xlfn.ANCHORARRAY(I68),0))),N70&amp;"Por favor no seleccionar los criterios de impacto",O57)</f>
        <v>0</v>
      </c>
      <c r="Q57" s="327"/>
      <c r="R57" s="326"/>
      <c r="S57" s="339"/>
      <c r="T57" s="172">
        <v>4</v>
      </c>
      <c r="U57" s="182"/>
      <c r="V57" s="173" t="str">
        <f t="shared" ref="V57:V59" si="53">IF(OR(W57="Preventivo",W57="Detectivo"),"Probabilidad",IF(W57="Correctivo","Impacto",""))</f>
        <v/>
      </c>
      <c r="W57" s="174"/>
      <c r="X57" s="174"/>
      <c r="Y57" s="175" t="str">
        <f t="shared" si="50"/>
        <v/>
      </c>
      <c r="Z57" s="174"/>
      <c r="AA57" s="174"/>
      <c r="AB57" s="174"/>
      <c r="AC57" s="176" t="str">
        <f t="shared" ref="AC57:AC59" si="54">IFERROR(IF(AND(V56="Probabilidad",V57="Probabilidad"),(AE56-(+AE56*Y57)),IF(AND(V56="Impacto",V57="Probabilidad"),(AE55-(+AE55*Y57)),IF(V57="Impacto",AE56,""))),"")</f>
        <v/>
      </c>
      <c r="AD57" s="177" t="str">
        <f t="shared" si="1"/>
        <v/>
      </c>
      <c r="AE57" s="178" t="str">
        <f t="shared" si="51"/>
        <v/>
      </c>
      <c r="AF57" s="177" t="str">
        <f t="shared" si="3"/>
        <v/>
      </c>
      <c r="AG57" s="178" t="str">
        <f t="shared" ref="AG57:AG59" si="55">IFERROR(IF(AND(V56="Impacto",V57="Impacto"),(AG56-(+AG56*Y57)),IF(AND(V56="Probabilidad",V57="Impacto"),(AG55-(+AG55*Y57)),IF(V57="Probabilidad",AG56,""))),"")</f>
        <v/>
      </c>
      <c r="AH57" s="179" t="str">
        <f>IFERROR(IF(OR(AND(AD57="Muy Baja",AF57="Leve"),AND(AD57="Muy Baja",AF57="Menor"),AND(AD57="Baja",AF57="Leve")),"Bajo",IF(OR(AND(AD57="Muy baja",AF57="Moderado"),AND(AD57="Baja",AF57="Menor"),AND(AD57="Baja",AF57="Moderado"),AND(AD57="Media",AF57="Leve"),AND(AD57="Media",AF57="Menor"),AND(AD57="Media",AF57="Moderado"),AND(AD57="Alta",AF57="Leve"),AND(AD57="Alta",AF57="Menor")),"Moderado",IF(OR(AND(AD57="Muy Baja",AF57="Mayor"),AND(AD57="Baja",AF57="Mayor"),AND(AD57="Media",AF57="Mayor"),AND(AD57="Alta",AF57="Moderado"),AND(AD57="Alta",AF57="Mayor"),AND(AD57="Muy Alta",AF57="Leve"),AND(AD57="Muy Alta",AF57="Menor"),AND(AD57="Muy Alta",AF57="Moderado"),AND(AD57="Muy Alta",AF57="Mayor")),"Alto",IF(OR(AND(AD57="Muy Baja",AF57="Catastrófico"),AND(AD57="Baja",AF57="Catastrófico"),AND(AD57="Media",AF57="Catastrófico"),AND(AD57="Alta",AF57="Catastrófico"),AND(AD57="Muy Alta",AF57="Catastrófico")),"Extremo","")))),"")</f>
        <v/>
      </c>
      <c r="AI57" s="180"/>
      <c r="AJ57" s="342"/>
      <c r="AK57" s="328"/>
      <c r="AL57" s="410"/>
      <c r="AM57" s="415"/>
      <c r="AN57" s="426"/>
      <c r="AO57" s="328"/>
      <c r="AP57" s="401"/>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49"/>
      <c r="BR57" s="149"/>
      <c r="BS57" s="149"/>
      <c r="BT57" s="149"/>
      <c r="BU57" s="149"/>
    </row>
    <row r="58" spans="1:73" s="170" customFormat="1" ht="15" x14ac:dyDescent="0.2">
      <c r="A58" s="389"/>
      <c r="B58" s="392"/>
      <c r="C58" s="336"/>
      <c r="D58" s="331"/>
      <c r="E58" s="342"/>
      <c r="F58" s="342"/>
      <c r="G58" s="345"/>
      <c r="H58" s="345"/>
      <c r="I58" s="324"/>
      <c r="J58" s="324"/>
      <c r="K58" s="331"/>
      <c r="L58" s="332"/>
      <c r="M58" s="327"/>
      <c r="N58" s="326"/>
      <c r="O58" s="333"/>
      <c r="P58" s="326">
        <f>IF(NOT(ISERROR(MATCH(O58,_xlfn.ANCHORARRAY(I69),0))),N71&amp;"Por favor no seleccionar los criterios de impacto",O58)</f>
        <v>0</v>
      </c>
      <c r="Q58" s="327"/>
      <c r="R58" s="326"/>
      <c r="S58" s="339"/>
      <c r="T58" s="172">
        <v>5</v>
      </c>
      <c r="U58" s="182"/>
      <c r="V58" s="173" t="str">
        <f t="shared" si="53"/>
        <v/>
      </c>
      <c r="W58" s="174"/>
      <c r="X58" s="174"/>
      <c r="Y58" s="175" t="str">
        <f t="shared" si="50"/>
        <v/>
      </c>
      <c r="Z58" s="174"/>
      <c r="AA58" s="174"/>
      <c r="AB58" s="174"/>
      <c r="AC58" s="176" t="str">
        <f t="shared" si="54"/>
        <v/>
      </c>
      <c r="AD58" s="177" t="str">
        <f t="shared" si="1"/>
        <v/>
      </c>
      <c r="AE58" s="178" t="str">
        <f t="shared" si="51"/>
        <v/>
      </c>
      <c r="AF58" s="177" t="str">
        <f t="shared" si="3"/>
        <v/>
      </c>
      <c r="AG58" s="178" t="str">
        <f t="shared" si="55"/>
        <v/>
      </c>
      <c r="AH58" s="179" t="str">
        <f t="shared" ref="AH58:AH59" si="56">IFERROR(IF(OR(AND(AD58="Muy Baja",AF58="Leve"),AND(AD58="Muy Baja",AF58="Menor"),AND(AD58="Baja",AF58="Leve")),"Bajo",IF(OR(AND(AD58="Muy baja",AF58="Moderado"),AND(AD58="Baja",AF58="Menor"),AND(AD58="Baja",AF58="Moderado"),AND(AD58="Media",AF58="Leve"),AND(AD58="Media",AF58="Menor"),AND(AD58="Media",AF58="Moderado"),AND(AD58="Alta",AF58="Leve"),AND(AD58="Alta",AF58="Menor")),"Moderado",IF(OR(AND(AD58="Muy Baja",AF58="Mayor"),AND(AD58="Baja",AF58="Mayor"),AND(AD58="Media",AF58="Mayor"),AND(AD58="Alta",AF58="Moderado"),AND(AD58="Alta",AF58="Mayor"),AND(AD58="Muy Alta",AF58="Leve"),AND(AD58="Muy Alta",AF58="Menor"),AND(AD58="Muy Alta",AF58="Moderado"),AND(AD58="Muy Alta",AF58="Mayor")),"Alto",IF(OR(AND(AD58="Muy Baja",AF58="Catastrófico"),AND(AD58="Baja",AF58="Catastrófico"),AND(AD58="Media",AF58="Catastrófico"),AND(AD58="Alta",AF58="Catastrófico"),AND(AD58="Muy Alta",AF58="Catastrófico")),"Extremo","")))),"")</f>
        <v/>
      </c>
      <c r="AI58" s="180"/>
      <c r="AJ58" s="342"/>
      <c r="AK58" s="328"/>
      <c r="AL58" s="410"/>
      <c r="AM58" s="415"/>
      <c r="AN58" s="426"/>
      <c r="AO58" s="328"/>
      <c r="AP58" s="401"/>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149"/>
      <c r="BN58" s="149"/>
      <c r="BO58" s="149"/>
      <c r="BP58" s="149"/>
      <c r="BQ58" s="149"/>
      <c r="BR58" s="149"/>
      <c r="BS58" s="149"/>
      <c r="BT58" s="149"/>
      <c r="BU58" s="149"/>
    </row>
    <row r="59" spans="1:73" s="170" customFormat="1" ht="15" x14ac:dyDescent="0.2">
      <c r="A59" s="389"/>
      <c r="B59" s="393"/>
      <c r="C59" s="337"/>
      <c r="D59" s="331"/>
      <c r="E59" s="343"/>
      <c r="F59" s="343"/>
      <c r="G59" s="346"/>
      <c r="H59" s="346"/>
      <c r="I59" s="325"/>
      <c r="J59" s="325"/>
      <c r="K59" s="331"/>
      <c r="L59" s="332"/>
      <c r="M59" s="327"/>
      <c r="N59" s="326"/>
      <c r="O59" s="333"/>
      <c r="P59" s="326">
        <f>IF(NOT(ISERROR(MATCH(O59,_xlfn.ANCHORARRAY(I70),0))),N72&amp;"Por favor no seleccionar los criterios de impacto",O59)</f>
        <v>0</v>
      </c>
      <c r="Q59" s="327"/>
      <c r="R59" s="326"/>
      <c r="S59" s="339"/>
      <c r="T59" s="172">
        <v>6</v>
      </c>
      <c r="U59" s="182"/>
      <c r="V59" s="173" t="str">
        <f t="shared" si="53"/>
        <v/>
      </c>
      <c r="W59" s="174"/>
      <c r="X59" s="174"/>
      <c r="Y59" s="175" t="str">
        <f t="shared" si="50"/>
        <v/>
      </c>
      <c r="Z59" s="174"/>
      <c r="AA59" s="174"/>
      <c r="AB59" s="174"/>
      <c r="AC59" s="176" t="str">
        <f t="shared" si="54"/>
        <v/>
      </c>
      <c r="AD59" s="177" t="str">
        <f t="shared" si="1"/>
        <v/>
      </c>
      <c r="AE59" s="178" t="str">
        <f t="shared" si="51"/>
        <v/>
      </c>
      <c r="AF59" s="177" t="str">
        <f t="shared" si="3"/>
        <v/>
      </c>
      <c r="AG59" s="178" t="str">
        <f t="shared" si="55"/>
        <v/>
      </c>
      <c r="AH59" s="179" t="str">
        <f t="shared" si="56"/>
        <v/>
      </c>
      <c r="AI59" s="180"/>
      <c r="AJ59" s="343"/>
      <c r="AK59" s="329"/>
      <c r="AL59" s="411"/>
      <c r="AM59" s="416"/>
      <c r="AN59" s="427"/>
      <c r="AO59" s="329"/>
      <c r="AP59" s="401"/>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49"/>
      <c r="BR59" s="149"/>
      <c r="BS59" s="149"/>
      <c r="BT59" s="149"/>
      <c r="BU59" s="149"/>
    </row>
    <row r="60" spans="1:73" s="170" customFormat="1" ht="139.5" customHeight="1" x14ac:dyDescent="0.2">
      <c r="A60" s="389">
        <v>9</v>
      </c>
      <c r="B60" s="334"/>
      <c r="C60" s="335" t="s">
        <v>247</v>
      </c>
      <c r="D60" s="331" t="s">
        <v>133</v>
      </c>
      <c r="E60" s="331" t="s">
        <v>416</v>
      </c>
      <c r="F60" s="390" t="s">
        <v>415</v>
      </c>
      <c r="G60" s="341" t="s">
        <v>414</v>
      </c>
      <c r="H60" s="340" t="s">
        <v>413</v>
      </c>
      <c r="I60" s="338" t="s">
        <v>412</v>
      </c>
      <c r="J60" s="320" t="s">
        <v>417</v>
      </c>
      <c r="K60" s="331" t="s">
        <v>123</v>
      </c>
      <c r="L60" s="332">
        <v>2</v>
      </c>
      <c r="M60" s="327" t="str">
        <f>IF(L60&lt;=0,"",IF(L60&lt;=2,"Muy Baja",IF(L60&lt;=24,"Baja",IF(L60&lt;=500,"Media",IF(L60&lt;=5000,"Alta","Muy Alta")))))</f>
        <v>Muy Baja</v>
      </c>
      <c r="N60" s="326">
        <f>IF(M60="","",IF(M60="Muy Baja",0.2,IF(M60="Baja",0.4,IF(M60="Media",0.6,IF(M60="Alta",0.8,IF(M60="Muy Alta",1,))))))</f>
        <v>0.2</v>
      </c>
      <c r="O60" s="333" t="s">
        <v>150</v>
      </c>
      <c r="P60" s="326" t="str">
        <f>IF(NOT(ISERROR(MATCH(O60,'Tabla Impacto'!$B$221:$B$223,0))),'Tabla Impacto'!$F$223&amp;"Por favor no seleccionar los criterios de impacto(Afectación Económica o presupuestal y Pérdida Reputacional)",O60)</f>
        <v xml:space="preserve">     Mayor a 500 SMLMV </v>
      </c>
      <c r="Q60" s="327" t="str">
        <f>IF(OR(P60='Tabla Impacto'!$C$11,P60='Tabla Impacto'!$D$11),"Leve",IF(OR(P60='Tabla Impacto'!$C$12,P60='Tabla Impacto'!$D$12),"Menor",IF(OR(P60='Tabla Impacto'!$C$13,P60='Tabla Impacto'!$D$13),"Moderado",IF(OR(P60='Tabla Impacto'!$C$14,P60='Tabla Impacto'!$D$14),"Mayor",IF(OR(P60='Tabla Impacto'!$C$15,P60='Tabla Impacto'!$D$15),"Catastrófico","")))))</f>
        <v>Catastrófico</v>
      </c>
      <c r="R60" s="326">
        <f>IF(Q60="","",IF(Q60="Leve",0.2,IF(Q60="Menor",0.4,IF(Q60="Moderado",0.6,IF(Q60="Mayor",0.8,IF(Q60="Catastrófico",1,))))))</f>
        <v>1</v>
      </c>
      <c r="S60" s="339" t="str">
        <f>IF(OR(AND(M60="Muy Baja",Q60="Leve"),AND(M60="Muy Baja",Q60="Menor"),AND(M60="Baja",Q60="Leve")),"Bajo",IF(OR(AND(M60="Muy baja",Q60="Moderado"),AND(M60="Baja",Q60="Menor"),AND(M60="Baja",Q60="Moderado"),AND(M60="Media",Q60="Leve"),AND(M60="Media",Q60="Menor"),AND(M60="Media",Q60="Moderado"),AND(M60="Alta",Q60="Leve"),AND(M60="Alta",Q60="Menor")),"Moderado",IF(OR(AND(M60="Muy Baja",Q60="Mayor"),AND(M60="Baja",Q60="Mayor"),AND(M60="Media",Q60="Mayor"),AND(M60="Alta",Q60="Moderado"),AND(M60="Alta",Q60="Mayor"),AND(M60="Muy Alta",Q60="Leve"),AND(M60="Muy Alta",Q60="Menor"),AND(M60="Muy Alta",Q60="Moderado"),AND(M60="Muy Alta",Q60="Mayor")),"Alto",IF(OR(AND(M60="Muy Baja",Q60="Catastrófico"),AND(M60="Baja",Q60="Catastrófico"),AND(M60="Media",Q60="Catastrófico"),AND(M60="Alta",Q60="Catastrófico"),AND(M60="Muy Alta",Q60="Catastrófico")),"Extremo",""))))</f>
        <v>Extremo</v>
      </c>
      <c r="T60" s="172">
        <v>1</v>
      </c>
      <c r="U60" s="193" t="s">
        <v>436</v>
      </c>
      <c r="V60" s="173" t="str">
        <f>IF(OR(W60="Preventivo",W60="Detectivo"),"Probabilidad",IF(W60="Correctivo","Impacto",""))</f>
        <v>Probabilidad</v>
      </c>
      <c r="W60" s="197" t="s">
        <v>14</v>
      </c>
      <c r="X60" s="174" t="s">
        <v>9</v>
      </c>
      <c r="Y60" s="175" t="str">
        <f>IF(AND(W60="Preventivo",X60="Automático"),"50%",IF(AND(W60="Preventivo",X60="Manual"),"40%",IF(AND(W60="Detectivo",X60="Automático"),"40%",IF(AND(W60="Detectivo",X60="Manual"),"30%",IF(AND(W60="Correctivo",X60="Automático"),"35%",IF(AND(W60="Correctivo",X60="Manual"),"25%",""))))))</f>
        <v>40%</v>
      </c>
      <c r="Z60" s="197" t="s">
        <v>19</v>
      </c>
      <c r="AA60" s="174" t="s">
        <v>22</v>
      </c>
      <c r="AB60" s="197" t="s">
        <v>119</v>
      </c>
      <c r="AC60" s="176">
        <f>IFERROR(IF(V60="Probabilidad",(N60-(+N60*Y60)),IF(V60="Impacto",N60,"")),"")</f>
        <v>0.12</v>
      </c>
      <c r="AD60" s="177" t="str">
        <f>IFERROR(IF(AC60="","",IF(AC60&lt;=0.2,"Muy Baja",IF(AC60&lt;=0.4,"Baja",IF(AC60&lt;=0.6,"Media",IF(AC60&lt;=0.8,"Alta","Muy Alta"))))),"")</f>
        <v>Muy Baja</v>
      </c>
      <c r="AE60" s="178">
        <f>+AC60</f>
        <v>0.12</v>
      </c>
      <c r="AF60" s="177" t="str">
        <f>IFERROR(IF(AG60="","",IF(AG60&lt;=0.2,"Leve",IF(AG60&lt;=0.4,"Menor",IF(AG60&lt;=0.6,"Moderado",IF(AG60&lt;=0.8,"Mayor","Catastrófico"))))),"")</f>
        <v>Catastrófico</v>
      </c>
      <c r="AG60" s="178">
        <f>IFERROR(IF(V60="Impacto",(R60-(+R60*Y60)),IF(V60="Probabilidad",R60,"")),"")</f>
        <v>1</v>
      </c>
      <c r="AH60" s="179" t="str">
        <f>IFERROR(IF(OR(AND(AD60="Muy Baja",AF60="Leve"),AND(AD60="Muy Baja",AF60="Menor"),AND(AD60="Baja",AF60="Leve")),"Bajo",IF(OR(AND(AD60="Muy baja",AF60="Moderado"),AND(AD60="Baja",AF60="Menor"),AND(AD60="Baja",AF60="Moderado"),AND(AD60="Media",AF60="Leve"),AND(AD60="Media",AF60="Menor"),AND(AD60="Media",AF60="Moderado"),AND(AD60="Alta",AF60="Leve"),AND(AD60="Alta",AF60="Menor")),"Moderado",IF(OR(AND(AD60="Muy Baja",AF60="Mayor"),AND(AD60="Baja",AF60="Mayor"),AND(AD60="Media",AF60="Mayor"),AND(AD60="Alta",AF60="Moderado"),AND(AD60="Alta",AF60="Mayor"),AND(AD60="Muy Alta",AF60="Leve"),AND(AD60="Muy Alta",AF60="Menor"),AND(AD60="Muy Alta",AF60="Moderado"),AND(AD60="Muy Alta",AF60="Mayor")),"Alto",IF(OR(AND(AD60="Muy Baja",AF60="Catastrófico"),AND(AD60="Baja",AF60="Catastrófico"),AND(AD60="Media",AF60="Catastrófico"),AND(AD60="Alta",AF60="Catastrófico"),AND(AD60="Muy Alta",AF60="Catastrófico")),"Extremo","")))),"")</f>
        <v>Extremo</v>
      </c>
      <c r="AI60" s="180" t="s">
        <v>135</v>
      </c>
      <c r="AJ60" s="357" t="s">
        <v>437</v>
      </c>
      <c r="AK60" s="330" t="s">
        <v>303</v>
      </c>
      <c r="AL60" s="412">
        <v>44928</v>
      </c>
      <c r="AM60" s="417" t="s">
        <v>441</v>
      </c>
      <c r="AN60" s="428" t="s">
        <v>220</v>
      </c>
      <c r="AO60" s="330" t="s">
        <v>421</v>
      </c>
      <c r="AP60" s="401" t="s">
        <v>438</v>
      </c>
      <c r="AQ60" s="149"/>
      <c r="AR60" s="149"/>
      <c r="AS60" s="149"/>
      <c r="AT60" s="149"/>
      <c r="AU60" s="149"/>
      <c r="AV60" s="149"/>
      <c r="AW60" s="149"/>
      <c r="AX60" s="149"/>
      <c r="AY60" s="149"/>
      <c r="AZ60" s="149"/>
      <c r="BA60" s="149"/>
      <c r="BB60" s="149"/>
      <c r="BC60" s="149"/>
      <c r="BD60" s="149"/>
      <c r="BE60" s="149"/>
      <c r="BF60" s="149"/>
      <c r="BG60" s="149"/>
      <c r="BH60" s="149"/>
      <c r="BI60" s="149"/>
      <c r="BJ60" s="149"/>
      <c r="BK60" s="149"/>
      <c r="BL60" s="149"/>
      <c r="BM60" s="149"/>
      <c r="BN60" s="149"/>
      <c r="BO60" s="149"/>
      <c r="BP60" s="149"/>
      <c r="BQ60" s="149"/>
      <c r="BR60" s="149"/>
      <c r="BS60" s="149"/>
      <c r="BT60" s="149"/>
      <c r="BU60" s="149"/>
    </row>
    <row r="61" spans="1:73" s="170" customFormat="1" ht="172.5" customHeight="1" x14ac:dyDescent="0.2">
      <c r="A61" s="389"/>
      <c r="B61" s="334"/>
      <c r="C61" s="336"/>
      <c r="D61" s="331"/>
      <c r="E61" s="331"/>
      <c r="F61" s="390"/>
      <c r="G61" s="342"/>
      <c r="H61" s="340"/>
      <c r="I61" s="338"/>
      <c r="J61" s="321"/>
      <c r="K61" s="331"/>
      <c r="L61" s="332"/>
      <c r="M61" s="327"/>
      <c r="N61" s="326"/>
      <c r="O61" s="333"/>
      <c r="P61" s="326">
        <f>IF(NOT(ISERROR(MATCH(O61,_xlfn.ANCHORARRAY(I72),0))),N74&amp;"Por favor no seleccionar los criterios de impacto",O61)</f>
        <v>0</v>
      </c>
      <c r="Q61" s="327"/>
      <c r="R61" s="326"/>
      <c r="S61" s="339"/>
      <c r="T61" s="172">
        <v>2</v>
      </c>
      <c r="U61" s="193" t="s">
        <v>435</v>
      </c>
      <c r="V61" s="173" t="str">
        <f>IF(OR(W61="Preventivo",W61="Detectivo"),"Probabilidad",IF(W61="Correctivo","Impacto",""))</f>
        <v>Probabilidad</v>
      </c>
      <c r="W61" s="197" t="s">
        <v>15</v>
      </c>
      <c r="X61" s="174" t="s">
        <v>9</v>
      </c>
      <c r="Y61" s="175" t="str">
        <f>IF(AND(W61="Preventivo",X61="Automático"),"50%",IF(AND(W61="Preventivo",X61="Manual"),"40%",IF(AND(W61="Detectivo",X61="Automático"),"40%",IF(AND(W61="Detectivo",X61="Manual"),"30%",IF(AND(W61="Correctivo",X61="Automático"),"35%",IF(AND(W61="Correctivo",X61="Manual"),"25%",""))))))</f>
        <v>30%</v>
      </c>
      <c r="Z61" s="197" t="s">
        <v>19</v>
      </c>
      <c r="AA61" s="174" t="s">
        <v>22</v>
      </c>
      <c r="AB61" s="197" t="s">
        <v>119</v>
      </c>
      <c r="AC61" s="176">
        <f>IFERROR(IF(AND(V60="Probabilidad",V61="Probabilidad"),(AE60-(+AE60*Y61)),IF(V61="Probabilidad",(N60-(+N60*Y61)),IF(V61="Impacto",AE60,""))),"")</f>
        <v>8.3999999999999991E-2</v>
      </c>
      <c r="AD61" s="177" t="str">
        <f t="shared" si="1"/>
        <v>Muy Baja</v>
      </c>
      <c r="AE61" s="178">
        <f t="shared" ref="AE61:AE65" si="57">+AC61</f>
        <v>8.3999999999999991E-2</v>
      </c>
      <c r="AF61" s="177" t="str">
        <f t="shared" si="3"/>
        <v>Catastrófico</v>
      </c>
      <c r="AG61" s="178">
        <f>IFERROR(IF(AND(V60="Impacto",V61="Impacto"),(AG60-(+AG60*Y61)),IF(V61="Impacto",(R60-(+R60*Y61)),IF(V61="Probabilidad",AG60,""))),"")</f>
        <v>1</v>
      </c>
      <c r="AH61" s="179" t="str">
        <f t="shared" ref="AH61:AH62" si="58">IFERROR(IF(OR(AND(AD61="Muy Baja",AF61="Leve"),AND(AD61="Muy Baja",AF61="Menor"),AND(AD61="Baja",AF61="Leve")),"Bajo",IF(OR(AND(AD61="Muy baja",AF61="Moderado"),AND(AD61="Baja",AF61="Menor"),AND(AD61="Baja",AF61="Moderado"),AND(AD61="Media",AF61="Leve"),AND(AD61="Media",AF61="Menor"),AND(AD61="Media",AF61="Moderado"),AND(AD61="Alta",AF61="Leve"),AND(AD61="Alta",AF61="Menor")),"Moderado",IF(OR(AND(AD61="Muy Baja",AF61="Mayor"),AND(AD61="Baja",AF61="Mayor"),AND(AD61="Media",AF61="Mayor"),AND(AD61="Alta",AF61="Moderado"),AND(AD61="Alta",AF61="Mayor"),AND(AD61="Muy Alta",AF61="Leve"),AND(AD61="Muy Alta",AF61="Menor"),AND(AD61="Muy Alta",AF61="Moderado"),AND(AD61="Muy Alta",AF61="Mayor")),"Alto",IF(OR(AND(AD61="Muy Baja",AF61="Catastrófico"),AND(AD61="Baja",AF61="Catastrófico"),AND(AD61="Media",AF61="Catastrófico"),AND(AD61="Alta",AF61="Catastrófico"),AND(AD61="Muy Alta",AF61="Catastrófico")),"Extremo","")))),"")</f>
        <v>Extremo</v>
      </c>
      <c r="AI61" s="180" t="s">
        <v>135</v>
      </c>
      <c r="AJ61" s="358"/>
      <c r="AK61" s="328"/>
      <c r="AL61" s="410"/>
      <c r="AM61" s="415"/>
      <c r="AN61" s="426"/>
      <c r="AO61" s="328"/>
      <c r="AP61" s="401"/>
      <c r="AQ61" s="149"/>
      <c r="AR61" s="149"/>
      <c r="AS61" s="149"/>
      <c r="AT61" s="149"/>
      <c r="AU61" s="149"/>
      <c r="AV61" s="149"/>
      <c r="AW61" s="149"/>
      <c r="AX61" s="149"/>
      <c r="AY61" s="149"/>
      <c r="AZ61" s="149"/>
      <c r="BA61" s="149"/>
      <c r="BB61" s="149"/>
      <c r="BC61" s="149"/>
      <c r="BD61" s="149"/>
      <c r="BE61" s="149"/>
      <c r="BF61" s="149"/>
      <c r="BG61" s="149"/>
      <c r="BH61" s="149"/>
      <c r="BI61" s="149"/>
      <c r="BJ61" s="149"/>
      <c r="BK61" s="149"/>
      <c r="BL61" s="149"/>
      <c r="BM61" s="149"/>
      <c r="BN61" s="149"/>
      <c r="BO61" s="149"/>
      <c r="BP61" s="149"/>
      <c r="BQ61" s="149"/>
      <c r="BR61" s="149"/>
      <c r="BS61" s="149"/>
      <c r="BT61" s="149"/>
      <c r="BU61" s="149"/>
    </row>
    <row r="62" spans="1:73" s="170" customFormat="1" ht="15" x14ac:dyDescent="0.2">
      <c r="A62" s="389"/>
      <c r="B62" s="334"/>
      <c r="C62" s="336"/>
      <c r="D62" s="331"/>
      <c r="E62" s="331"/>
      <c r="F62" s="390"/>
      <c r="G62" s="342"/>
      <c r="H62" s="340"/>
      <c r="I62" s="338"/>
      <c r="J62" s="321"/>
      <c r="K62" s="331"/>
      <c r="L62" s="332"/>
      <c r="M62" s="327"/>
      <c r="N62" s="326"/>
      <c r="O62" s="333"/>
      <c r="P62" s="326">
        <f>IF(NOT(ISERROR(MATCH(O62,_xlfn.ANCHORARRAY(I73),0))),N75&amp;"Por favor no seleccionar los criterios de impacto",O62)</f>
        <v>0</v>
      </c>
      <c r="Q62" s="327"/>
      <c r="R62" s="326"/>
      <c r="S62" s="339"/>
      <c r="T62" s="172">
        <v>3</v>
      </c>
      <c r="U62" s="185"/>
      <c r="V62" s="173" t="str">
        <f>IF(OR(W62="Preventivo",W62="Detectivo"),"Probabilidad",IF(W62="Correctivo","Impacto",""))</f>
        <v/>
      </c>
      <c r="W62" s="174"/>
      <c r="X62" s="174"/>
      <c r="Y62" s="175" t="str">
        <f t="shared" ref="Y62:Y65" si="59">IF(AND(W62="Preventivo",X62="Automático"),"50%",IF(AND(W62="Preventivo",X62="Manual"),"40%",IF(AND(W62="Detectivo",X62="Automático"),"40%",IF(AND(W62="Detectivo",X62="Manual"),"30%",IF(AND(W62="Correctivo",X62="Automático"),"35%",IF(AND(W62="Correctivo",X62="Manual"),"25%",""))))))</f>
        <v/>
      </c>
      <c r="Z62" s="174"/>
      <c r="AA62" s="174"/>
      <c r="AB62" s="174"/>
      <c r="AC62" s="176" t="str">
        <f>IFERROR(IF(AND(V61="Probabilidad",V62="Probabilidad"),(AE61-(+AE61*Y62)),IF(AND(V61="Impacto",V62="Probabilidad"),(AE60-(+AE60*Y62)),IF(V62="Impacto",AE61,""))),"")</f>
        <v/>
      </c>
      <c r="AD62" s="177" t="str">
        <f t="shared" si="1"/>
        <v/>
      </c>
      <c r="AE62" s="178" t="str">
        <f t="shared" si="57"/>
        <v/>
      </c>
      <c r="AF62" s="177" t="str">
        <f t="shared" si="3"/>
        <v/>
      </c>
      <c r="AG62" s="178" t="str">
        <f>IFERROR(IF(AND(V61="Impacto",V62="Impacto"),(AG61-(+AG61*Y62)),IF(AND(V61="Probabilidad",V62="Impacto"),(AG60-(+AG60*Y62)),IF(V62="Probabilidad",AG61,""))),"")</f>
        <v/>
      </c>
      <c r="AH62" s="179" t="str">
        <f t="shared" si="58"/>
        <v/>
      </c>
      <c r="AI62" s="180"/>
      <c r="AJ62" s="358"/>
      <c r="AK62" s="328"/>
      <c r="AL62" s="410"/>
      <c r="AM62" s="415"/>
      <c r="AN62" s="426"/>
      <c r="AO62" s="328"/>
      <c r="AP62" s="401"/>
      <c r="AQ62" s="149"/>
      <c r="AR62" s="149"/>
      <c r="AS62" s="149"/>
      <c r="AT62" s="149"/>
      <c r="AU62" s="149"/>
      <c r="AV62" s="149"/>
      <c r="AW62" s="149"/>
      <c r="AX62" s="149"/>
      <c r="AY62" s="149"/>
      <c r="AZ62" s="149"/>
      <c r="BA62" s="149"/>
      <c r="BB62" s="149"/>
      <c r="BC62" s="149"/>
      <c r="BD62" s="149"/>
      <c r="BE62" s="149"/>
      <c r="BF62" s="149"/>
      <c r="BG62" s="149"/>
      <c r="BH62" s="149"/>
      <c r="BI62" s="149"/>
      <c r="BJ62" s="149"/>
      <c r="BK62" s="149"/>
      <c r="BL62" s="149"/>
      <c r="BM62" s="149"/>
      <c r="BN62" s="149"/>
      <c r="BO62" s="149"/>
      <c r="BP62" s="149"/>
      <c r="BQ62" s="149"/>
      <c r="BR62" s="149"/>
      <c r="BS62" s="149"/>
      <c r="BT62" s="149"/>
      <c r="BU62" s="149"/>
    </row>
    <row r="63" spans="1:73" s="170" customFormat="1" ht="15" x14ac:dyDescent="0.2">
      <c r="A63" s="389"/>
      <c r="B63" s="334"/>
      <c r="C63" s="336"/>
      <c r="D63" s="331"/>
      <c r="E63" s="331"/>
      <c r="F63" s="390"/>
      <c r="G63" s="342"/>
      <c r="H63" s="340"/>
      <c r="I63" s="338"/>
      <c r="J63" s="321"/>
      <c r="K63" s="331"/>
      <c r="L63" s="332"/>
      <c r="M63" s="327"/>
      <c r="N63" s="326"/>
      <c r="O63" s="333"/>
      <c r="P63" s="326">
        <f>IF(NOT(ISERROR(MATCH(O63,_xlfn.ANCHORARRAY(I74),0))),N76&amp;"Por favor no seleccionar los criterios de impacto",O63)</f>
        <v>0</v>
      </c>
      <c r="Q63" s="327"/>
      <c r="R63" s="326"/>
      <c r="S63" s="339"/>
      <c r="T63" s="172">
        <v>4</v>
      </c>
      <c r="U63" s="182"/>
      <c r="V63" s="173" t="str">
        <f t="shared" ref="V63:V65" si="60">IF(OR(W63="Preventivo",W63="Detectivo"),"Probabilidad",IF(W63="Correctivo","Impacto",""))</f>
        <v/>
      </c>
      <c r="W63" s="174"/>
      <c r="X63" s="174"/>
      <c r="Y63" s="175" t="str">
        <f t="shared" si="59"/>
        <v/>
      </c>
      <c r="Z63" s="174"/>
      <c r="AA63" s="174"/>
      <c r="AB63" s="174"/>
      <c r="AC63" s="176" t="str">
        <f t="shared" ref="AC63:AC65" si="61">IFERROR(IF(AND(V62="Probabilidad",V63="Probabilidad"),(AE62-(+AE62*Y63)),IF(AND(V62="Impacto",V63="Probabilidad"),(AE61-(+AE61*Y63)),IF(V63="Impacto",AE62,""))),"")</f>
        <v/>
      </c>
      <c r="AD63" s="177" t="str">
        <f t="shared" si="1"/>
        <v/>
      </c>
      <c r="AE63" s="178" t="str">
        <f t="shared" si="57"/>
        <v/>
      </c>
      <c r="AF63" s="177" t="str">
        <f t="shared" si="3"/>
        <v/>
      </c>
      <c r="AG63" s="178" t="str">
        <f t="shared" ref="AG63:AG65" si="62">IFERROR(IF(AND(V62="Impacto",V63="Impacto"),(AG62-(+AG62*Y63)),IF(AND(V62="Probabilidad",V63="Impacto"),(AG61-(+AG61*Y63)),IF(V63="Probabilidad",AG62,""))),"")</f>
        <v/>
      </c>
      <c r="AH63" s="179" t="str">
        <f>IFERROR(IF(OR(AND(AD63="Muy Baja",AF63="Leve"),AND(AD63="Muy Baja",AF63="Menor"),AND(AD63="Baja",AF63="Leve")),"Bajo",IF(OR(AND(AD63="Muy baja",AF63="Moderado"),AND(AD63="Baja",AF63="Menor"),AND(AD63="Baja",AF63="Moderado"),AND(AD63="Media",AF63="Leve"),AND(AD63="Media",AF63="Menor"),AND(AD63="Media",AF63="Moderado"),AND(AD63="Alta",AF63="Leve"),AND(AD63="Alta",AF63="Menor")),"Moderado",IF(OR(AND(AD63="Muy Baja",AF63="Mayor"),AND(AD63="Baja",AF63="Mayor"),AND(AD63="Media",AF63="Mayor"),AND(AD63="Alta",AF63="Moderado"),AND(AD63="Alta",AF63="Mayor"),AND(AD63="Muy Alta",AF63="Leve"),AND(AD63="Muy Alta",AF63="Menor"),AND(AD63="Muy Alta",AF63="Moderado"),AND(AD63="Muy Alta",AF63="Mayor")),"Alto",IF(OR(AND(AD63="Muy Baja",AF63="Catastrófico"),AND(AD63="Baja",AF63="Catastrófico"),AND(AD63="Media",AF63="Catastrófico"),AND(AD63="Alta",AF63="Catastrófico"),AND(AD63="Muy Alta",AF63="Catastrófico")),"Extremo","")))),"")</f>
        <v/>
      </c>
      <c r="AI63" s="180"/>
      <c r="AJ63" s="358"/>
      <c r="AK63" s="328"/>
      <c r="AL63" s="410"/>
      <c r="AM63" s="415"/>
      <c r="AN63" s="426"/>
      <c r="AO63" s="328"/>
      <c r="AP63" s="401"/>
      <c r="AQ63" s="149"/>
      <c r="AR63" s="149"/>
      <c r="AS63" s="149"/>
      <c r="AT63" s="149"/>
      <c r="AU63" s="149"/>
      <c r="AV63" s="149"/>
      <c r="AW63" s="149"/>
      <c r="AX63" s="149"/>
      <c r="AY63" s="149"/>
      <c r="AZ63" s="149"/>
      <c r="BA63" s="149"/>
      <c r="BB63" s="149"/>
      <c r="BC63" s="149"/>
      <c r="BD63" s="149"/>
      <c r="BE63" s="149"/>
      <c r="BF63" s="149"/>
      <c r="BG63" s="149"/>
      <c r="BH63" s="149"/>
      <c r="BI63" s="149"/>
      <c r="BJ63" s="149"/>
      <c r="BK63" s="149"/>
      <c r="BL63" s="149"/>
      <c r="BM63" s="149"/>
      <c r="BN63" s="149"/>
      <c r="BO63" s="149"/>
      <c r="BP63" s="149"/>
      <c r="BQ63" s="149"/>
      <c r="BR63" s="149"/>
      <c r="BS63" s="149"/>
      <c r="BT63" s="149"/>
      <c r="BU63" s="149"/>
    </row>
    <row r="64" spans="1:73" s="170" customFormat="1" ht="15" x14ac:dyDescent="0.2">
      <c r="A64" s="389"/>
      <c r="B64" s="334"/>
      <c r="C64" s="336"/>
      <c r="D64" s="331"/>
      <c r="E64" s="331"/>
      <c r="F64" s="390"/>
      <c r="G64" s="342"/>
      <c r="H64" s="340"/>
      <c r="I64" s="338"/>
      <c r="J64" s="321"/>
      <c r="K64" s="331"/>
      <c r="L64" s="332"/>
      <c r="M64" s="327"/>
      <c r="N64" s="326"/>
      <c r="O64" s="333"/>
      <c r="P64" s="326">
        <f>IF(NOT(ISERROR(MATCH(O64,_xlfn.ANCHORARRAY(I75),0))),N77&amp;"Por favor no seleccionar los criterios de impacto",O64)</f>
        <v>0</v>
      </c>
      <c r="Q64" s="327"/>
      <c r="R64" s="326"/>
      <c r="S64" s="339"/>
      <c r="T64" s="172">
        <v>5</v>
      </c>
      <c r="U64" s="182"/>
      <c r="V64" s="173" t="str">
        <f t="shared" si="60"/>
        <v/>
      </c>
      <c r="W64" s="174"/>
      <c r="X64" s="174"/>
      <c r="Y64" s="175" t="str">
        <f t="shared" si="59"/>
        <v/>
      </c>
      <c r="Z64" s="174"/>
      <c r="AA64" s="174"/>
      <c r="AB64" s="174"/>
      <c r="AC64" s="176" t="str">
        <f t="shared" si="61"/>
        <v/>
      </c>
      <c r="AD64" s="177" t="str">
        <f t="shared" si="1"/>
        <v/>
      </c>
      <c r="AE64" s="178" t="str">
        <f t="shared" si="57"/>
        <v/>
      </c>
      <c r="AF64" s="177" t="str">
        <f t="shared" si="3"/>
        <v/>
      </c>
      <c r="AG64" s="178" t="str">
        <f t="shared" si="62"/>
        <v/>
      </c>
      <c r="AH64" s="179" t="str">
        <f t="shared" ref="AH64:AH65" si="63">IFERROR(IF(OR(AND(AD64="Muy Baja",AF64="Leve"),AND(AD64="Muy Baja",AF64="Menor"),AND(AD64="Baja",AF64="Leve")),"Bajo",IF(OR(AND(AD64="Muy baja",AF64="Moderado"),AND(AD64="Baja",AF64="Menor"),AND(AD64="Baja",AF64="Moderado"),AND(AD64="Media",AF64="Leve"),AND(AD64="Media",AF64="Menor"),AND(AD64="Media",AF64="Moderado"),AND(AD64="Alta",AF64="Leve"),AND(AD64="Alta",AF64="Menor")),"Moderado",IF(OR(AND(AD64="Muy Baja",AF64="Mayor"),AND(AD64="Baja",AF64="Mayor"),AND(AD64="Media",AF64="Mayor"),AND(AD64="Alta",AF64="Moderado"),AND(AD64="Alta",AF64="Mayor"),AND(AD64="Muy Alta",AF64="Leve"),AND(AD64="Muy Alta",AF64="Menor"),AND(AD64="Muy Alta",AF64="Moderado"),AND(AD64="Muy Alta",AF64="Mayor")),"Alto",IF(OR(AND(AD64="Muy Baja",AF64="Catastrófico"),AND(AD64="Baja",AF64="Catastrófico"),AND(AD64="Media",AF64="Catastrófico"),AND(AD64="Alta",AF64="Catastrófico"),AND(AD64="Muy Alta",AF64="Catastrófico")),"Extremo","")))),"")</f>
        <v/>
      </c>
      <c r="AI64" s="180"/>
      <c r="AJ64" s="358"/>
      <c r="AK64" s="328"/>
      <c r="AL64" s="410"/>
      <c r="AM64" s="415"/>
      <c r="AN64" s="426"/>
      <c r="AO64" s="328"/>
      <c r="AP64" s="401"/>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row>
    <row r="65" spans="1:73" s="170" customFormat="1" ht="15" x14ac:dyDescent="0.2">
      <c r="A65" s="389"/>
      <c r="B65" s="334"/>
      <c r="C65" s="337"/>
      <c r="D65" s="331"/>
      <c r="E65" s="331"/>
      <c r="F65" s="390"/>
      <c r="G65" s="343"/>
      <c r="H65" s="340"/>
      <c r="I65" s="338"/>
      <c r="J65" s="322"/>
      <c r="K65" s="331"/>
      <c r="L65" s="332"/>
      <c r="M65" s="327"/>
      <c r="N65" s="326"/>
      <c r="O65" s="333"/>
      <c r="P65" s="326">
        <f>IF(NOT(ISERROR(MATCH(O65,_xlfn.ANCHORARRAY(I76),0))),N78&amp;"Por favor no seleccionar los criterios de impacto",O65)</f>
        <v>0</v>
      </c>
      <c r="Q65" s="327"/>
      <c r="R65" s="326"/>
      <c r="S65" s="339"/>
      <c r="T65" s="172">
        <v>6</v>
      </c>
      <c r="U65" s="182"/>
      <c r="V65" s="173" t="str">
        <f t="shared" si="60"/>
        <v/>
      </c>
      <c r="W65" s="174"/>
      <c r="X65" s="174"/>
      <c r="Y65" s="175" t="str">
        <f t="shared" si="59"/>
        <v/>
      </c>
      <c r="Z65" s="174"/>
      <c r="AA65" s="174"/>
      <c r="AB65" s="174"/>
      <c r="AC65" s="176" t="str">
        <f t="shared" si="61"/>
        <v/>
      </c>
      <c r="AD65" s="177" t="str">
        <f t="shared" si="1"/>
        <v/>
      </c>
      <c r="AE65" s="178" t="str">
        <f t="shared" si="57"/>
        <v/>
      </c>
      <c r="AF65" s="177" t="str">
        <f t="shared" si="3"/>
        <v/>
      </c>
      <c r="AG65" s="178" t="str">
        <f t="shared" si="62"/>
        <v/>
      </c>
      <c r="AH65" s="179" t="str">
        <f t="shared" si="63"/>
        <v/>
      </c>
      <c r="AI65" s="180"/>
      <c r="AJ65" s="359"/>
      <c r="AK65" s="329"/>
      <c r="AL65" s="411"/>
      <c r="AM65" s="416"/>
      <c r="AN65" s="427"/>
      <c r="AO65" s="329"/>
      <c r="AP65" s="401"/>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row>
    <row r="66" spans="1:73" s="170" customFormat="1" ht="15" x14ac:dyDescent="0.2">
      <c r="A66" s="389">
        <v>10</v>
      </c>
      <c r="B66" s="334"/>
      <c r="C66" s="334"/>
      <c r="D66" s="331"/>
      <c r="E66" s="331"/>
      <c r="F66" s="331"/>
      <c r="G66" s="341"/>
      <c r="H66" s="341"/>
      <c r="I66" s="338"/>
      <c r="J66" s="316"/>
      <c r="K66" s="331"/>
      <c r="L66" s="332"/>
      <c r="M66" s="327" t="str">
        <f>IF(L66&lt;=0,"",IF(L66&lt;=2,"Muy Baja",IF(L66&lt;=24,"Baja",IF(L66&lt;=500,"Media",IF(L66&lt;=5000,"Alta","Muy Alta")))))</f>
        <v/>
      </c>
      <c r="N66" s="326" t="str">
        <f>IF(M66="","",IF(M66="Muy Baja",0.2,IF(M66="Baja",0.4,IF(M66="Media",0.6,IF(M66="Alta",0.8,IF(M66="Muy Alta",1,))))))</f>
        <v/>
      </c>
      <c r="O66" s="333"/>
      <c r="P66" s="326">
        <f>IF(NOT(ISERROR(MATCH(O66,'Tabla Impacto'!$B$221:$B$223,0))),'Tabla Impacto'!$F$223&amp;"Por favor no seleccionar los criterios de impacto(Afectación Económica o presupuestal y Pérdida Reputacional)",O66)</f>
        <v>0</v>
      </c>
      <c r="Q66" s="327" t="str">
        <f>IF(OR(P66='Tabla Impacto'!$C$11,P66='Tabla Impacto'!$D$11),"Leve",IF(OR(P66='Tabla Impacto'!$C$12,P66='Tabla Impacto'!$D$12),"Menor",IF(OR(P66='Tabla Impacto'!$C$13,P66='Tabla Impacto'!$D$13),"Moderado",IF(OR(P66='Tabla Impacto'!$C$14,P66='Tabla Impacto'!$D$14),"Mayor",IF(OR(P66='Tabla Impacto'!$C$15,P66='Tabla Impacto'!$D$15),"Catastrófico","")))))</f>
        <v/>
      </c>
      <c r="R66" s="326" t="str">
        <f>IF(Q66="","",IF(Q66="Leve",0.2,IF(Q66="Menor",0.4,IF(Q66="Moderado",0.6,IF(Q66="Mayor",0.8,IF(Q66="Catastrófico",1,))))))</f>
        <v/>
      </c>
      <c r="S66" s="339" t="str">
        <f>IF(OR(AND(M66="Muy Baja",Q66="Leve"),AND(M66="Muy Baja",Q66="Menor"),AND(M66="Baja",Q66="Leve")),"Bajo",IF(OR(AND(M66="Muy baja",Q66="Moderado"),AND(M66="Baja",Q66="Menor"),AND(M66="Baja",Q66="Moderado"),AND(M66="Media",Q66="Leve"),AND(M66="Media",Q66="Menor"),AND(M66="Media",Q66="Moderado"),AND(M66="Alta",Q66="Leve"),AND(M66="Alta",Q66="Menor")),"Moderado",IF(OR(AND(M66="Muy Baja",Q66="Mayor"),AND(M66="Baja",Q66="Mayor"),AND(M66="Media",Q66="Mayor"),AND(M66="Alta",Q66="Moderado"),AND(M66="Alta",Q66="Mayor"),AND(M66="Muy Alta",Q66="Leve"),AND(M66="Muy Alta",Q66="Menor"),AND(M66="Muy Alta",Q66="Moderado"),AND(M66="Muy Alta",Q66="Mayor")),"Alto",IF(OR(AND(M66="Muy Baja",Q66="Catastrófico"),AND(M66="Baja",Q66="Catastrófico"),AND(M66="Media",Q66="Catastrófico"),AND(M66="Alta",Q66="Catastrófico"),AND(M66="Muy Alta",Q66="Catastrófico")),"Extremo",""))))</f>
        <v/>
      </c>
      <c r="T66" s="172">
        <v>1</v>
      </c>
      <c r="U66" s="193"/>
      <c r="V66" s="173" t="str">
        <f>IF(OR(W66="Preventivo",W66="Detectivo"),"Probabilidad",IF(W66="Correctivo","Impacto",""))</f>
        <v/>
      </c>
      <c r="W66" s="174"/>
      <c r="X66" s="174"/>
      <c r="Y66" s="175" t="str">
        <f>IF(AND(W66="Preventivo",X66="Automático"),"50%",IF(AND(W66="Preventivo",X66="Manual"),"40%",IF(AND(W66="Detectivo",X66="Automático"),"40%",IF(AND(W66="Detectivo",X66="Manual"),"30%",IF(AND(W66="Correctivo",X66="Automático"),"35%",IF(AND(W66="Correctivo",X66="Manual"),"25%",""))))))</f>
        <v/>
      </c>
      <c r="Z66" s="174"/>
      <c r="AA66" s="174"/>
      <c r="AB66" s="174"/>
      <c r="AC66" s="176" t="str">
        <f>IFERROR(IF(V66="Probabilidad",(N66-(+N66*Y66)),IF(V66="Impacto",N66,"")),"")</f>
        <v/>
      </c>
      <c r="AD66" s="177" t="str">
        <f>IFERROR(IF(AC66="","",IF(AC66&lt;=0.2,"Muy Baja",IF(AC66&lt;=0.4,"Baja",IF(AC66&lt;=0.6,"Media",IF(AC66&lt;=0.8,"Alta","Muy Alta"))))),"")</f>
        <v/>
      </c>
      <c r="AE66" s="178" t="str">
        <f>+AC66</f>
        <v/>
      </c>
      <c r="AF66" s="177" t="str">
        <f>IFERROR(IF(AG66="","",IF(AG66&lt;=0.2,"Leve",IF(AG66&lt;=0.4,"Menor",IF(AG66&lt;=0.6,"Moderado",IF(AG66&lt;=0.8,"Mayor","Catastrófico"))))),"")</f>
        <v/>
      </c>
      <c r="AG66" s="178" t="str">
        <f>IFERROR(IF(V66="Impacto",(R66-(+R66*Y66)),IF(V66="Probabilidad",R66,"")),"")</f>
        <v/>
      </c>
      <c r="AH66" s="179" t="str">
        <f>IFERROR(IF(OR(AND(AD66="Muy Baja",AF66="Leve"),AND(AD66="Muy Baja",AF66="Menor"),AND(AD66="Baja",AF66="Leve")),"Bajo",IF(OR(AND(AD66="Muy baja",AF66="Moderado"),AND(AD66="Baja",AF66="Menor"),AND(AD66="Baja",AF66="Moderado"),AND(AD66="Media",AF66="Leve"),AND(AD66="Media",AF66="Menor"),AND(AD66="Media",AF66="Moderado"),AND(AD66="Alta",AF66="Leve"),AND(AD66="Alta",AF66="Menor")),"Moderado",IF(OR(AND(AD66="Muy Baja",AF66="Mayor"),AND(AD66="Baja",AF66="Mayor"),AND(AD66="Media",AF66="Mayor"),AND(AD66="Alta",AF66="Moderado"),AND(AD66="Alta",AF66="Mayor"),AND(AD66="Muy Alta",AF66="Leve"),AND(AD66="Muy Alta",AF66="Menor"),AND(AD66="Muy Alta",AF66="Moderado"),AND(AD66="Muy Alta",AF66="Mayor")),"Alto",IF(OR(AND(AD66="Muy Baja",AF66="Catastrófico"),AND(AD66="Baja",AF66="Catastrófico"),AND(AD66="Media",AF66="Catastrófico"),AND(AD66="Alta",AF66="Catastrófico"),AND(AD66="Muy Alta",AF66="Catastrófico")),"Extremo","")))),"")</f>
        <v/>
      </c>
      <c r="AI66" s="180"/>
      <c r="AJ66" s="357"/>
      <c r="AK66" s="330"/>
      <c r="AL66" s="412"/>
      <c r="AM66" s="425"/>
      <c r="AN66" s="429"/>
      <c r="AO66" s="422"/>
      <c r="AP66" s="418"/>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row>
    <row r="67" spans="1:73" s="170" customFormat="1" ht="15" x14ac:dyDescent="0.2">
      <c r="A67" s="389"/>
      <c r="B67" s="334"/>
      <c r="C67" s="334"/>
      <c r="D67" s="331"/>
      <c r="E67" s="331"/>
      <c r="F67" s="331"/>
      <c r="G67" s="342"/>
      <c r="H67" s="342"/>
      <c r="I67" s="338"/>
      <c r="J67" s="317"/>
      <c r="K67" s="331"/>
      <c r="L67" s="332"/>
      <c r="M67" s="327"/>
      <c r="N67" s="326"/>
      <c r="O67" s="333"/>
      <c r="P67" s="326">
        <f>IF(NOT(ISERROR(MATCH(O67,_xlfn.ANCHORARRAY(I78),0))),N80&amp;"Por favor no seleccionar los criterios de impacto",O67)</f>
        <v>0</v>
      </c>
      <c r="Q67" s="327"/>
      <c r="R67" s="326"/>
      <c r="S67" s="339"/>
      <c r="T67" s="172">
        <v>2</v>
      </c>
      <c r="U67" s="193"/>
      <c r="V67" s="173" t="str">
        <f>IF(OR(W67="Preventivo",W67="Detectivo"),"Probabilidad",IF(W67="Correctivo","Impacto",""))</f>
        <v/>
      </c>
      <c r="W67" s="174"/>
      <c r="X67" s="174"/>
      <c r="Y67" s="175" t="str">
        <f t="shared" ref="Y67:Y71" si="64">IF(AND(W67="Preventivo",X67="Automático"),"50%",IF(AND(W67="Preventivo",X67="Manual"),"40%",IF(AND(W67="Detectivo",X67="Automático"),"40%",IF(AND(W67="Detectivo",X67="Manual"),"30%",IF(AND(W67="Correctivo",X67="Automático"),"35%",IF(AND(W67="Correctivo",X67="Manual"),"25%",""))))))</f>
        <v/>
      </c>
      <c r="Z67" s="174"/>
      <c r="AA67" s="174"/>
      <c r="AB67" s="174"/>
      <c r="AC67" s="176" t="str">
        <f>IFERROR(IF(AND(V66="Probabilidad",V67="Probabilidad"),(AE66-(+AE66*Y67)),IF(V67="Probabilidad",(N66-(+N66*Y67)),IF(V67="Impacto",AE66,""))),"")</f>
        <v/>
      </c>
      <c r="AD67" s="177" t="str">
        <f t="shared" si="1"/>
        <v/>
      </c>
      <c r="AE67" s="178" t="str">
        <f t="shared" ref="AE67:AE71" si="65">+AC67</f>
        <v/>
      </c>
      <c r="AF67" s="177" t="str">
        <f t="shared" si="3"/>
        <v/>
      </c>
      <c r="AG67" s="178" t="str">
        <f>IFERROR(IF(AND(V66="Impacto",V67="Impacto"),(AG66-(+AG66*Y67)),IF(V67="Impacto",(R66-(+R66*Y67)),IF(V67="Probabilidad",AG66,""))),"")</f>
        <v/>
      </c>
      <c r="AH67" s="179" t="str">
        <f t="shared" ref="AH67:AH68" si="66">IFERROR(IF(OR(AND(AD67="Muy Baja",AF67="Leve"),AND(AD67="Muy Baja",AF67="Menor"),AND(AD67="Baja",AF67="Leve")),"Bajo",IF(OR(AND(AD67="Muy baja",AF67="Moderado"),AND(AD67="Baja",AF67="Menor"),AND(AD67="Baja",AF67="Moderado"),AND(AD67="Media",AF67="Leve"),AND(AD67="Media",AF67="Menor"),AND(AD67="Media",AF67="Moderado"),AND(AD67="Alta",AF67="Leve"),AND(AD67="Alta",AF67="Menor")),"Moderado",IF(OR(AND(AD67="Muy Baja",AF67="Mayor"),AND(AD67="Baja",AF67="Mayor"),AND(AD67="Media",AF67="Mayor"),AND(AD67="Alta",AF67="Moderado"),AND(AD67="Alta",AF67="Mayor"),AND(AD67="Muy Alta",AF67="Leve"),AND(AD67="Muy Alta",AF67="Menor"),AND(AD67="Muy Alta",AF67="Moderado"),AND(AD67="Muy Alta",AF67="Mayor")),"Alto",IF(OR(AND(AD67="Muy Baja",AF67="Catastrófico"),AND(AD67="Baja",AF67="Catastrófico"),AND(AD67="Media",AF67="Catastrófico"),AND(AD67="Alta",AF67="Catastrófico"),AND(AD67="Muy Alta",AF67="Catastrófico")),"Extremo","")))),"")</f>
        <v/>
      </c>
      <c r="AI67" s="180"/>
      <c r="AJ67" s="358"/>
      <c r="AK67" s="328"/>
      <c r="AL67" s="410"/>
      <c r="AM67" s="415"/>
      <c r="AN67" s="430"/>
      <c r="AO67" s="423"/>
      <c r="AP67" s="419"/>
    </row>
    <row r="68" spans="1:73" s="170" customFormat="1" ht="15" x14ac:dyDescent="0.2">
      <c r="A68" s="389"/>
      <c r="B68" s="334"/>
      <c r="C68" s="334"/>
      <c r="D68" s="331"/>
      <c r="E68" s="331"/>
      <c r="F68" s="331"/>
      <c r="G68" s="342"/>
      <c r="H68" s="342"/>
      <c r="I68" s="338"/>
      <c r="J68" s="317"/>
      <c r="K68" s="331"/>
      <c r="L68" s="332"/>
      <c r="M68" s="327"/>
      <c r="N68" s="326"/>
      <c r="O68" s="333"/>
      <c r="P68" s="326">
        <f>IF(NOT(ISERROR(MATCH(O68,_xlfn.ANCHORARRAY(I79),0))),N81&amp;"Por favor no seleccionar los criterios de impacto",O68)</f>
        <v>0</v>
      </c>
      <c r="Q68" s="327"/>
      <c r="R68" s="326"/>
      <c r="S68" s="339"/>
      <c r="T68" s="172">
        <v>3</v>
      </c>
      <c r="U68" s="185"/>
      <c r="V68" s="173" t="str">
        <f>IF(OR(W68="Preventivo",W68="Detectivo"),"Probabilidad",IF(W68="Correctivo","Impacto",""))</f>
        <v/>
      </c>
      <c r="W68" s="174"/>
      <c r="X68" s="174"/>
      <c r="Y68" s="175" t="str">
        <f t="shared" si="64"/>
        <v/>
      </c>
      <c r="Z68" s="174"/>
      <c r="AA68" s="174"/>
      <c r="AB68" s="174"/>
      <c r="AC68" s="176" t="str">
        <f>IFERROR(IF(AND(V67="Probabilidad",V68="Probabilidad"),(AE67-(+AE67*Y68)),IF(AND(V67="Impacto",V68="Probabilidad"),(AE66-(+AE66*Y68)),IF(V68="Impacto",AE67,""))),"")</f>
        <v/>
      </c>
      <c r="AD68" s="177" t="str">
        <f t="shared" si="1"/>
        <v/>
      </c>
      <c r="AE68" s="178" t="str">
        <f t="shared" si="65"/>
        <v/>
      </c>
      <c r="AF68" s="177" t="str">
        <f t="shared" si="3"/>
        <v/>
      </c>
      <c r="AG68" s="178" t="str">
        <f>IFERROR(IF(AND(V67="Impacto",V68="Impacto"),(AG67-(+AG67*Y68)),IF(AND(V67="Probabilidad",V68="Impacto"),(AG66-(+AG66*Y68)),IF(V68="Probabilidad",AG67,""))),"")</f>
        <v/>
      </c>
      <c r="AH68" s="179" t="str">
        <f t="shared" si="66"/>
        <v/>
      </c>
      <c r="AI68" s="180"/>
      <c r="AJ68" s="358"/>
      <c r="AK68" s="328"/>
      <c r="AL68" s="410"/>
      <c r="AM68" s="415"/>
      <c r="AN68" s="430"/>
      <c r="AO68" s="423"/>
      <c r="AP68" s="419"/>
    </row>
    <row r="69" spans="1:73" s="170" customFormat="1" ht="15" x14ac:dyDescent="0.2">
      <c r="A69" s="389"/>
      <c r="B69" s="334"/>
      <c r="C69" s="334"/>
      <c r="D69" s="331"/>
      <c r="E69" s="331"/>
      <c r="F69" s="331"/>
      <c r="G69" s="342"/>
      <c r="H69" s="342"/>
      <c r="I69" s="338"/>
      <c r="J69" s="317"/>
      <c r="K69" s="331"/>
      <c r="L69" s="332"/>
      <c r="M69" s="327"/>
      <c r="N69" s="326"/>
      <c r="O69" s="333"/>
      <c r="P69" s="326">
        <f>IF(NOT(ISERROR(MATCH(O69,_xlfn.ANCHORARRAY(I80),0))),N82&amp;"Por favor no seleccionar los criterios de impacto",O69)</f>
        <v>0</v>
      </c>
      <c r="Q69" s="327"/>
      <c r="R69" s="326"/>
      <c r="S69" s="339"/>
      <c r="T69" s="172">
        <v>4</v>
      </c>
      <c r="U69" s="182"/>
      <c r="V69" s="173" t="str">
        <f t="shared" ref="V69:V71" si="67">IF(OR(W69="Preventivo",W69="Detectivo"),"Probabilidad",IF(W69="Correctivo","Impacto",""))</f>
        <v/>
      </c>
      <c r="W69" s="174"/>
      <c r="X69" s="174"/>
      <c r="Y69" s="175" t="str">
        <f t="shared" si="64"/>
        <v/>
      </c>
      <c r="Z69" s="174"/>
      <c r="AA69" s="174"/>
      <c r="AB69" s="174"/>
      <c r="AC69" s="176" t="str">
        <f t="shared" ref="AC69:AC71" si="68">IFERROR(IF(AND(V68="Probabilidad",V69="Probabilidad"),(AE68-(+AE68*Y69)),IF(AND(V68="Impacto",V69="Probabilidad"),(AE67-(+AE67*Y69)),IF(V69="Impacto",AE68,""))),"")</f>
        <v/>
      </c>
      <c r="AD69" s="177" t="str">
        <f t="shared" si="1"/>
        <v/>
      </c>
      <c r="AE69" s="178" t="str">
        <f t="shared" si="65"/>
        <v/>
      </c>
      <c r="AF69" s="177" t="str">
        <f t="shared" si="3"/>
        <v/>
      </c>
      <c r="AG69" s="178" t="str">
        <f t="shared" ref="AG69:AG71" si="69">IFERROR(IF(AND(V68="Impacto",V69="Impacto"),(AG68-(+AG68*Y69)),IF(AND(V68="Probabilidad",V69="Impacto"),(AG67-(+AG67*Y69)),IF(V69="Probabilidad",AG68,""))),"")</f>
        <v/>
      </c>
      <c r="AH69" s="179" t="str">
        <f>IFERROR(IF(OR(AND(AD69="Muy Baja",AF69="Leve"),AND(AD69="Muy Baja",AF69="Menor"),AND(AD69="Baja",AF69="Leve")),"Bajo",IF(OR(AND(AD69="Muy baja",AF69="Moderado"),AND(AD69="Baja",AF69="Menor"),AND(AD69="Baja",AF69="Moderado"),AND(AD69="Media",AF69="Leve"),AND(AD69="Media",AF69="Menor"),AND(AD69="Media",AF69="Moderado"),AND(AD69="Alta",AF69="Leve"),AND(AD69="Alta",AF69="Menor")),"Moderado",IF(OR(AND(AD69="Muy Baja",AF69="Mayor"),AND(AD69="Baja",AF69="Mayor"),AND(AD69="Media",AF69="Mayor"),AND(AD69="Alta",AF69="Moderado"),AND(AD69="Alta",AF69="Mayor"),AND(AD69="Muy Alta",AF69="Leve"),AND(AD69="Muy Alta",AF69="Menor"),AND(AD69="Muy Alta",AF69="Moderado"),AND(AD69="Muy Alta",AF69="Mayor")),"Alto",IF(OR(AND(AD69="Muy Baja",AF69="Catastrófico"),AND(AD69="Baja",AF69="Catastrófico"),AND(AD69="Media",AF69="Catastrófico"),AND(AD69="Alta",AF69="Catastrófico"),AND(AD69="Muy Alta",AF69="Catastrófico")),"Extremo","")))),"")</f>
        <v/>
      </c>
      <c r="AI69" s="180"/>
      <c r="AJ69" s="358"/>
      <c r="AK69" s="328"/>
      <c r="AL69" s="410"/>
      <c r="AM69" s="415"/>
      <c r="AN69" s="430"/>
      <c r="AO69" s="423"/>
      <c r="AP69" s="419"/>
    </row>
    <row r="70" spans="1:73" s="170" customFormat="1" ht="15" x14ac:dyDescent="0.2">
      <c r="A70" s="389"/>
      <c r="B70" s="334"/>
      <c r="C70" s="334"/>
      <c r="D70" s="331"/>
      <c r="E70" s="331"/>
      <c r="F70" s="331"/>
      <c r="G70" s="342"/>
      <c r="H70" s="342"/>
      <c r="I70" s="338"/>
      <c r="J70" s="317"/>
      <c r="K70" s="331"/>
      <c r="L70" s="332"/>
      <c r="M70" s="327"/>
      <c r="N70" s="326"/>
      <c r="O70" s="333"/>
      <c r="P70" s="326">
        <f>IF(NOT(ISERROR(MATCH(O70,_xlfn.ANCHORARRAY(I81),0))),N83&amp;"Por favor no seleccionar los criterios de impacto",O70)</f>
        <v>0</v>
      </c>
      <c r="Q70" s="327"/>
      <c r="R70" s="326"/>
      <c r="S70" s="339"/>
      <c r="T70" s="172">
        <v>5</v>
      </c>
      <c r="U70" s="182"/>
      <c r="V70" s="173" t="str">
        <f t="shared" si="67"/>
        <v/>
      </c>
      <c r="W70" s="174"/>
      <c r="X70" s="174"/>
      <c r="Y70" s="175" t="str">
        <f t="shared" si="64"/>
        <v/>
      </c>
      <c r="Z70" s="174"/>
      <c r="AA70" s="174"/>
      <c r="AB70" s="174"/>
      <c r="AC70" s="176" t="str">
        <f t="shared" si="68"/>
        <v/>
      </c>
      <c r="AD70" s="177" t="str">
        <f t="shared" si="1"/>
        <v/>
      </c>
      <c r="AE70" s="178" t="str">
        <f t="shared" si="65"/>
        <v/>
      </c>
      <c r="AF70" s="177" t="str">
        <f t="shared" si="3"/>
        <v/>
      </c>
      <c r="AG70" s="178" t="str">
        <f t="shared" si="69"/>
        <v/>
      </c>
      <c r="AH70" s="179" t="str">
        <f t="shared" ref="AH70:AH71" si="70">IFERROR(IF(OR(AND(AD70="Muy Baja",AF70="Leve"),AND(AD70="Muy Baja",AF70="Menor"),AND(AD70="Baja",AF70="Leve")),"Bajo",IF(OR(AND(AD70="Muy baja",AF70="Moderado"),AND(AD70="Baja",AF70="Menor"),AND(AD70="Baja",AF70="Moderado"),AND(AD70="Media",AF70="Leve"),AND(AD70="Media",AF70="Menor"),AND(AD70="Media",AF70="Moderado"),AND(AD70="Alta",AF70="Leve"),AND(AD70="Alta",AF70="Menor")),"Moderado",IF(OR(AND(AD70="Muy Baja",AF70="Mayor"),AND(AD70="Baja",AF70="Mayor"),AND(AD70="Media",AF70="Mayor"),AND(AD70="Alta",AF70="Moderado"),AND(AD70="Alta",AF70="Mayor"),AND(AD70="Muy Alta",AF70="Leve"),AND(AD70="Muy Alta",AF70="Menor"),AND(AD70="Muy Alta",AF70="Moderado"),AND(AD70="Muy Alta",AF70="Mayor")),"Alto",IF(OR(AND(AD70="Muy Baja",AF70="Catastrófico"),AND(AD70="Baja",AF70="Catastrófico"),AND(AD70="Media",AF70="Catastrófico"),AND(AD70="Alta",AF70="Catastrófico"),AND(AD70="Muy Alta",AF70="Catastrófico")),"Extremo","")))),"")</f>
        <v/>
      </c>
      <c r="AI70" s="180"/>
      <c r="AJ70" s="358"/>
      <c r="AK70" s="328"/>
      <c r="AL70" s="410"/>
      <c r="AM70" s="415"/>
      <c r="AN70" s="430"/>
      <c r="AO70" s="423"/>
      <c r="AP70" s="419"/>
    </row>
    <row r="71" spans="1:73" s="170" customFormat="1" ht="15" x14ac:dyDescent="0.2">
      <c r="A71" s="389"/>
      <c r="B71" s="334"/>
      <c r="C71" s="334"/>
      <c r="D71" s="331"/>
      <c r="E71" s="331"/>
      <c r="F71" s="331"/>
      <c r="G71" s="343"/>
      <c r="H71" s="343"/>
      <c r="I71" s="338"/>
      <c r="J71" s="318"/>
      <c r="K71" s="331"/>
      <c r="L71" s="332"/>
      <c r="M71" s="327"/>
      <c r="N71" s="326"/>
      <c r="O71" s="333"/>
      <c r="P71" s="326">
        <f>IF(NOT(ISERROR(MATCH(O71,_xlfn.ANCHORARRAY(I82),0))),N84&amp;"Por favor no seleccionar los criterios de impacto",O71)</f>
        <v>0</v>
      </c>
      <c r="Q71" s="327"/>
      <c r="R71" s="326"/>
      <c r="S71" s="339"/>
      <c r="T71" s="172">
        <v>6</v>
      </c>
      <c r="U71" s="182"/>
      <c r="V71" s="173" t="str">
        <f t="shared" si="67"/>
        <v/>
      </c>
      <c r="W71" s="174"/>
      <c r="X71" s="174"/>
      <c r="Y71" s="175" t="str">
        <f t="shared" si="64"/>
        <v/>
      </c>
      <c r="Z71" s="174"/>
      <c r="AA71" s="174"/>
      <c r="AB71" s="174"/>
      <c r="AC71" s="176" t="str">
        <f t="shared" si="68"/>
        <v/>
      </c>
      <c r="AD71" s="177" t="str">
        <f t="shared" si="1"/>
        <v/>
      </c>
      <c r="AE71" s="178" t="str">
        <f t="shared" si="65"/>
        <v/>
      </c>
      <c r="AF71" s="177" t="str">
        <f t="shared" si="3"/>
        <v/>
      </c>
      <c r="AG71" s="178" t="str">
        <f t="shared" si="69"/>
        <v/>
      </c>
      <c r="AH71" s="179" t="str">
        <f t="shared" si="70"/>
        <v/>
      </c>
      <c r="AI71" s="180"/>
      <c r="AJ71" s="359"/>
      <c r="AK71" s="329"/>
      <c r="AL71" s="411"/>
      <c r="AM71" s="416"/>
      <c r="AN71" s="431"/>
      <c r="AO71" s="424"/>
      <c r="AP71" s="420"/>
    </row>
    <row r="72" spans="1:73" ht="49.5" customHeight="1" x14ac:dyDescent="0.2">
      <c r="A72" s="115"/>
      <c r="B72" s="116"/>
      <c r="C72" s="138"/>
      <c r="D72" s="387" t="s">
        <v>223</v>
      </c>
      <c r="E72" s="388"/>
      <c r="F72" s="388"/>
      <c r="G72" s="388"/>
      <c r="H72" s="388"/>
      <c r="I72" s="388"/>
      <c r="J72" s="388"/>
      <c r="K72" s="388"/>
      <c r="L72" s="388"/>
      <c r="M72" s="388"/>
      <c r="N72" s="388"/>
      <c r="O72" s="388"/>
      <c r="P72" s="388"/>
      <c r="Q72" s="388"/>
      <c r="R72" s="388"/>
      <c r="S72" s="388"/>
      <c r="T72" s="388"/>
      <c r="U72" s="388"/>
      <c r="V72" s="388"/>
      <c r="W72" s="388"/>
      <c r="X72" s="388"/>
      <c r="Y72" s="388"/>
      <c r="Z72" s="388"/>
      <c r="AA72" s="388"/>
      <c r="AB72" s="388"/>
      <c r="AC72" s="388"/>
      <c r="AD72" s="388"/>
      <c r="AE72" s="388"/>
      <c r="AF72" s="388"/>
      <c r="AG72" s="388"/>
      <c r="AH72" s="388"/>
      <c r="AI72" s="388"/>
      <c r="AJ72" s="388"/>
      <c r="AK72" s="388"/>
      <c r="AL72" s="388"/>
      <c r="AM72" s="388"/>
      <c r="AN72" s="388"/>
      <c r="AO72" s="388"/>
      <c r="AP72" s="200"/>
    </row>
    <row r="73" spans="1:73" hidden="1" x14ac:dyDescent="0.2"/>
    <row r="74" spans="1:73" hidden="1" x14ac:dyDescent="0.2">
      <c r="A74" s="114"/>
      <c r="B74" s="109"/>
      <c r="C74" s="140"/>
      <c r="D74" s="119" t="s">
        <v>142</v>
      </c>
      <c r="E74" s="109"/>
      <c r="F74" s="109"/>
      <c r="G74" s="109"/>
      <c r="H74" s="109"/>
      <c r="K74" s="109"/>
    </row>
  </sheetData>
  <dataConsolidate/>
  <mergeCells count="316">
    <mergeCell ref="AP66:AP71"/>
    <mergeCell ref="AJ66:AJ71"/>
    <mergeCell ref="AJ42:AJ47"/>
    <mergeCell ref="AP42:AP47"/>
    <mergeCell ref="AJ48:AJ53"/>
    <mergeCell ref="AP48:AP53"/>
    <mergeCell ref="AJ54:AJ59"/>
    <mergeCell ref="AP54:AP59"/>
    <mergeCell ref="AP60:AP65"/>
    <mergeCell ref="AJ60:AJ65"/>
    <mergeCell ref="AK66:AK71"/>
    <mergeCell ref="AL66:AL71"/>
    <mergeCell ref="AO66:AO71"/>
    <mergeCell ref="AM66:AM71"/>
    <mergeCell ref="AN42:AN47"/>
    <mergeCell ref="AN48:AN53"/>
    <mergeCell ref="AN54:AN59"/>
    <mergeCell ref="AN60:AN65"/>
    <mergeCell ref="AN66:AN71"/>
    <mergeCell ref="AJ10:AJ11"/>
    <mergeCell ref="AO30:AO35"/>
    <mergeCell ref="AO36:AO41"/>
    <mergeCell ref="AO42:AO47"/>
    <mergeCell ref="AO48:AO53"/>
    <mergeCell ref="AO54:AO59"/>
    <mergeCell ref="AO60:AO65"/>
    <mergeCell ref="AN24:AN29"/>
    <mergeCell ref="AJ24:AJ29"/>
    <mergeCell ref="AO24:AO29"/>
    <mergeCell ref="AL30:AL35"/>
    <mergeCell ref="AL36:AL41"/>
    <mergeCell ref="AL42:AL47"/>
    <mergeCell ref="AL48:AL53"/>
    <mergeCell ref="AL54:AL59"/>
    <mergeCell ref="AL60:AL65"/>
    <mergeCell ref="AM30:AM35"/>
    <mergeCell ref="AM36:AM41"/>
    <mergeCell ref="AM42:AM47"/>
    <mergeCell ref="AM48:AM53"/>
    <mergeCell ref="AM54:AM59"/>
    <mergeCell ref="AM60:AM65"/>
    <mergeCell ref="AN30:AN35"/>
    <mergeCell ref="AN36:AN41"/>
    <mergeCell ref="AP24:AP29"/>
    <mergeCell ref="AP30:AP35"/>
    <mergeCell ref="AJ30:AJ35"/>
    <mergeCell ref="AJ36:AJ41"/>
    <mergeCell ref="AP36:AP41"/>
    <mergeCell ref="I10:I11"/>
    <mergeCell ref="AJ12:AJ17"/>
    <mergeCell ref="AN12:AN17"/>
    <mergeCell ref="AO12:AO17"/>
    <mergeCell ref="AP12:AP17"/>
    <mergeCell ref="AP18:AP23"/>
    <mergeCell ref="U10:U11"/>
    <mergeCell ref="AF10:AF11"/>
    <mergeCell ref="AD10:AD11"/>
    <mergeCell ref="K10:K11"/>
    <mergeCell ref="V10:V11"/>
    <mergeCell ref="W10:AB10"/>
    <mergeCell ref="L10:L11"/>
    <mergeCell ref="M10:M11"/>
    <mergeCell ref="N10:N11"/>
    <mergeCell ref="Q10:Q11"/>
    <mergeCell ref="R10:R11"/>
    <mergeCell ref="AP9:AP11"/>
    <mergeCell ref="O30:O35"/>
    <mergeCell ref="U1:AO1"/>
    <mergeCell ref="U2:AO2"/>
    <mergeCell ref="U3:AO3"/>
    <mergeCell ref="J12:J17"/>
    <mergeCell ref="B10:B11"/>
    <mergeCell ref="C10:C11"/>
    <mergeCell ref="H10:H11"/>
    <mergeCell ref="D10:D11"/>
    <mergeCell ref="S10:S11"/>
    <mergeCell ref="O10:O11"/>
    <mergeCell ref="P10:P11"/>
    <mergeCell ref="S12:S17"/>
    <mergeCell ref="N12:N17"/>
    <mergeCell ref="O12:O17"/>
    <mergeCell ref="P12:P17"/>
    <mergeCell ref="Q12:Q17"/>
    <mergeCell ref="R12:R17"/>
    <mergeCell ref="F10:F11"/>
    <mergeCell ref="E10:E11"/>
    <mergeCell ref="AI10:AI11"/>
    <mergeCell ref="T10:T11"/>
    <mergeCell ref="AH10:AH11"/>
    <mergeCell ref="AG10:AG11"/>
    <mergeCell ref="AC10:AC11"/>
    <mergeCell ref="A18:A23"/>
    <mergeCell ref="D18:D23"/>
    <mergeCell ref="E18:E23"/>
    <mergeCell ref="F18:F23"/>
    <mergeCell ref="I18:I23"/>
    <mergeCell ref="A12:A17"/>
    <mergeCell ref="D12:D17"/>
    <mergeCell ref="E12:E17"/>
    <mergeCell ref="F12:F17"/>
    <mergeCell ref="I12:I17"/>
    <mergeCell ref="H12:H17"/>
    <mergeCell ref="A24:A29"/>
    <mergeCell ref="D24:D29"/>
    <mergeCell ref="E24:E29"/>
    <mergeCell ref="F24:F29"/>
    <mergeCell ref="I24:I29"/>
    <mergeCell ref="K24:K29"/>
    <mergeCell ref="L24:L29"/>
    <mergeCell ref="M24:M29"/>
    <mergeCell ref="N24:N29"/>
    <mergeCell ref="J24:J29"/>
    <mergeCell ref="P30:P35"/>
    <mergeCell ref="Q30:Q35"/>
    <mergeCell ref="R30:R35"/>
    <mergeCell ref="S30:S35"/>
    <mergeCell ref="B30:B35"/>
    <mergeCell ref="C30:C35"/>
    <mergeCell ref="J30:J35"/>
    <mergeCell ref="P18:P23"/>
    <mergeCell ref="Q18:Q23"/>
    <mergeCell ref="R18:R23"/>
    <mergeCell ref="S18:S23"/>
    <mergeCell ref="O24:O29"/>
    <mergeCell ref="P24:P29"/>
    <mergeCell ref="Q24:Q29"/>
    <mergeCell ref="K18:K23"/>
    <mergeCell ref="L18:L23"/>
    <mergeCell ref="M18:M23"/>
    <mergeCell ref="N18:N23"/>
    <mergeCell ref="O18:O23"/>
    <mergeCell ref="B18:B23"/>
    <mergeCell ref="C18:C23"/>
    <mergeCell ref="B24:B29"/>
    <mergeCell ref="C24:C29"/>
    <mergeCell ref="R24:R29"/>
    <mergeCell ref="A30:A35"/>
    <mergeCell ref="D30:D35"/>
    <mergeCell ref="E30:E35"/>
    <mergeCell ref="F30:F35"/>
    <mergeCell ref="I30:I35"/>
    <mergeCell ref="K30:K35"/>
    <mergeCell ref="L30:L35"/>
    <mergeCell ref="M30:M35"/>
    <mergeCell ref="N30:N35"/>
    <mergeCell ref="E36:E41"/>
    <mergeCell ref="A42:A47"/>
    <mergeCell ref="D42:D47"/>
    <mergeCell ref="E42:E47"/>
    <mergeCell ref="F42:F47"/>
    <mergeCell ref="I42:I47"/>
    <mergeCell ref="K42:K47"/>
    <mergeCell ref="F36:F41"/>
    <mergeCell ref="I36:I41"/>
    <mergeCell ref="K36:K41"/>
    <mergeCell ref="J36:J41"/>
    <mergeCell ref="J42:J47"/>
    <mergeCell ref="S36:S41"/>
    <mergeCell ref="R42:R47"/>
    <mergeCell ref="S42:S47"/>
    <mergeCell ref="O42:O47"/>
    <mergeCell ref="P42:P47"/>
    <mergeCell ref="Q42:Q47"/>
    <mergeCell ref="L36:L41"/>
    <mergeCell ref="M36:M41"/>
    <mergeCell ref="A54:A59"/>
    <mergeCell ref="D54:D59"/>
    <mergeCell ref="E54:E59"/>
    <mergeCell ref="F54:F59"/>
    <mergeCell ref="I54:I59"/>
    <mergeCell ref="A48:A53"/>
    <mergeCell ref="D48:D53"/>
    <mergeCell ref="E48:E53"/>
    <mergeCell ref="F48:F53"/>
    <mergeCell ref="I48:I53"/>
    <mergeCell ref="B48:B53"/>
    <mergeCell ref="C48:C53"/>
    <mergeCell ref="B54:B59"/>
    <mergeCell ref="C54:C59"/>
    <mergeCell ref="A36:A41"/>
    <mergeCell ref="D36:D41"/>
    <mergeCell ref="D72:AO72"/>
    <mergeCell ref="R60:R65"/>
    <mergeCell ref="S60:S65"/>
    <mergeCell ref="A66:A71"/>
    <mergeCell ref="D66:D71"/>
    <mergeCell ref="E66:E71"/>
    <mergeCell ref="F66:F71"/>
    <mergeCell ref="I66:I71"/>
    <mergeCell ref="K66:K71"/>
    <mergeCell ref="L66:L71"/>
    <mergeCell ref="M66:M71"/>
    <mergeCell ref="N66:N71"/>
    <mergeCell ref="O66:O71"/>
    <mergeCell ref="P66:P71"/>
    <mergeCell ref="Q66:Q71"/>
    <mergeCell ref="R66:R71"/>
    <mergeCell ref="S66:S71"/>
    <mergeCell ref="O60:O65"/>
    <mergeCell ref="P60:P65"/>
    <mergeCell ref="Q60:Q65"/>
    <mergeCell ref="A60:A65"/>
    <mergeCell ref="D60:D65"/>
    <mergeCell ref="E60:E65"/>
    <mergeCell ref="F60:F65"/>
    <mergeCell ref="A1:D3"/>
    <mergeCell ref="E1:T3"/>
    <mergeCell ref="G10:G11"/>
    <mergeCell ref="J10:J11"/>
    <mergeCell ref="E6:S6"/>
    <mergeCell ref="T6:V6"/>
    <mergeCell ref="A4:AO4"/>
    <mergeCell ref="A9:L9"/>
    <mergeCell ref="M9:S9"/>
    <mergeCell ref="T9:AB9"/>
    <mergeCell ref="AC9:AI9"/>
    <mergeCell ref="AJ9:AO9"/>
    <mergeCell ref="A6:D6"/>
    <mergeCell ref="A7:D7"/>
    <mergeCell ref="A8:D8"/>
    <mergeCell ref="E7:S7"/>
    <mergeCell ref="E8:S8"/>
    <mergeCell ref="AE10:AE11"/>
    <mergeCell ref="AO10:AO11"/>
    <mergeCell ref="AN10:AN11"/>
    <mergeCell ref="AM10:AM11"/>
    <mergeCell ref="AL10:AL11"/>
    <mergeCell ref="AK10:AK11"/>
    <mergeCell ref="A10:A11"/>
    <mergeCell ref="S24:S29"/>
    <mergeCell ref="AK24:AK29"/>
    <mergeCell ref="AL24:AL29"/>
    <mergeCell ref="B12:B17"/>
    <mergeCell ref="C12:C17"/>
    <mergeCell ref="AM24:AM29"/>
    <mergeCell ref="AJ18:AJ23"/>
    <mergeCell ref="AN18:AN23"/>
    <mergeCell ref="AO18:AO23"/>
    <mergeCell ref="G12:G17"/>
    <mergeCell ref="J18:J23"/>
    <mergeCell ref="AK12:AK17"/>
    <mergeCell ref="AK18:AK23"/>
    <mergeCell ref="AL12:AL17"/>
    <mergeCell ref="AM12:AM17"/>
    <mergeCell ref="AL18:AL23"/>
    <mergeCell ref="AM18:AM23"/>
    <mergeCell ref="K12:K17"/>
    <mergeCell ref="L12:L17"/>
    <mergeCell ref="M12:M17"/>
    <mergeCell ref="B66:B71"/>
    <mergeCell ref="C66:C71"/>
    <mergeCell ref="H18:H23"/>
    <mergeCell ref="H24:H29"/>
    <mergeCell ref="H30:H35"/>
    <mergeCell ref="H36:H41"/>
    <mergeCell ref="H42:H47"/>
    <mergeCell ref="H48:H53"/>
    <mergeCell ref="H54:H59"/>
    <mergeCell ref="H60:H65"/>
    <mergeCell ref="H66:H71"/>
    <mergeCell ref="G18:G23"/>
    <mergeCell ref="G24:G29"/>
    <mergeCell ref="G30:G35"/>
    <mergeCell ref="G36:G41"/>
    <mergeCell ref="G42:G47"/>
    <mergeCell ref="G48:G53"/>
    <mergeCell ref="G54:G59"/>
    <mergeCell ref="G60:G65"/>
    <mergeCell ref="G66:G71"/>
    <mergeCell ref="B36:B41"/>
    <mergeCell ref="C36:C41"/>
    <mergeCell ref="B42:B47"/>
    <mergeCell ref="C42:C47"/>
    <mergeCell ref="B60:B65"/>
    <mergeCell ref="C60:C65"/>
    <mergeCell ref="I60:I65"/>
    <mergeCell ref="M60:M65"/>
    <mergeCell ref="N60:N65"/>
    <mergeCell ref="R48:R53"/>
    <mergeCell ref="S48:S53"/>
    <mergeCell ref="K54:K59"/>
    <mergeCell ref="L54:L59"/>
    <mergeCell ref="M54:M59"/>
    <mergeCell ref="N54:N59"/>
    <mergeCell ref="O54:O59"/>
    <mergeCell ref="K48:K53"/>
    <mergeCell ref="L48:L53"/>
    <mergeCell ref="M48:M53"/>
    <mergeCell ref="S54:S59"/>
    <mergeCell ref="O48:O53"/>
    <mergeCell ref="P48:P53"/>
    <mergeCell ref="Q48:Q53"/>
    <mergeCell ref="J66:J71"/>
    <mergeCell ref="AK30:AK35"/>
    <mergeCell ref="AK36:AK41"/>
    <mergeCell ref="J48:J53"/>
    <mergeCell ref="J54:J59"/>
    <mergeCell ref="J60:J65"/>
    <mergeCell ref="N48:N53"/>
    <mergeCell ref="P54:P59"/>
    <mergeCell ref="Q54:Q59"/>
    <mergeCell ref="R54:R59"/>
    <mergeCell ref="AK42:AK47"/>
    <mergeCell ref="AK48:AK53"/>
    <mergeCell ref="AK54:AK59"/>
    <mergeCell ref="AK60:AK65"/>
    <mergeCell ref="K60:K65"/>
    <mergeCell ref="L60:L65"/>
    <mergeCell ref="N36:N41"/>
    <mergeCell ref="O36:O41"/>
    <mergeCell ref="L42:L47"/>
    <mergeCell ref="M42:M47"/>
    <mergeCell ref="N42:N47"/>
    <mergeCell ref="P36:P41"/>
    <mergeCell ref="Q36:Q41"/>
    <mergeCell ref="R36:R41"/>
  </mergeCells>
  <conditionalFormatting sqref="M12 M18">
    <cfRule type="cellIs" dxfId="237" priority="319" operator="equal">
      <formula>"Muy Alta"</formula>
    </cfRule>
    <cfRule type="cellIs" dxfId="236" priority="320" operator="equal">
      <formula>"Alta"</formula>
    </cfRule>
    <cfRule type="cellIs" dxfId="235" priority="321" operator="equal">
      <formula>"Media"</formula>
    </cfRule>
    <cfRule type="cellIs" dxfId="234" priority="322" operator="equal">
      <formula>"Baja"</formula>
    </cfRule>
    <cfRule type="cellIs" dxfId="233" priority="323" operator="equal">
      <formula>"Muy Baja"</formula>
    </cfRule>
  </conditionalFormatting>
  <conditionalFormatting sqref="Q12 Q18 Q24 Q30 Q36 Q42 Q48 Q54 Q60 Q66">
    <cfRule type="cellIs" dxfId="232" priority="314" operator="equal">
      <formula>"Catastrófico"</formula>
    </cfRule>
    <cfRule type="cellIs" dxfId="231" priority="315" operator="equal">
      <formula>"Mayor"</formula>
    </cfRule>
    <cfRule type="cellIs" dxfId="230" priority="316" operator="equal">
      <formula>"Moderado"</formula>
    </cfRule>
    <cfRule type="cellIs" dxfId="229" priority="317" operator="equal">
      <formula>"Menor"</formula>
    </cfRule>
    <cfRule type="cellIs" dxfId="228" priority="318" operator="equal">
      <formula>"Leve"</formula>
    </cfRule>
  </conditionalFormatting>
  <conditionalFormatting sqref="S12">
    <cfRule type="cellIs" dxfId="227" priority="310" operator="equal">
      <formula>"Extremo"</formula>
    </cfRule>
    <cfRule type="cellIs" dxfId="226" priority="311" operator="equal">
      <formula>"Alto"</formula>
    </cfRule>
    <cfRule type="cellIs" dxfId="225" priority="312" operator="equal">
      <formula>"Moderado"</formula>
    </cfRule>
    <cfRule type="cellIs" dxfId="224" priority="313" operator="equal">
      <formula>"Bajo"</formula>
    </cfRule>
  </conditionalFormatting>
  <conditionalFormatting sqref="AD12:AD17">
    <cfRule type="cellIs" dxfId="223" priority="305" operator="equal">
      <formula>"Muy Alta"</formula>
    </cfRule>
    <cfRule type="cellIs" dxfId="222" priority="306" operator="equal">
      <formula>"Alta"</formula>
    </cfRule>
    <cfRule type="cellIs" dxfId="221" priority="307" operator="equal">
      <formula>"Media"</formula>
    </cfRule>
    <cfRule type="cellIs" dxfId="220" priority="308" operator="equal">
      <formula>"Baja"</formula>
    </cfRule>
    <cfRule type="cellIs" dxfId="219" priority="309" operator="equal">
      <formula>"Muy Baja"</formula>
    </cfRule>
  </conditionalFormatting>
  <conditionalFormatting sqref="AF12:AF17">
    <cfRule type="cellIs" dxfId="218" priority="300" operator="equal">
      <formula>"Catastrófico"</formula>
    </cfRule>
    <cfRule type="cellIs" dxfId="217" priority="301" operator="equal">
      <formula>"Mayor"</formula>
    </cfRule>
    <cfRule type="cellIs" dxfId="216" priority="302" operator="equal">
      <formula>"Moderado"</formula>
    </cfRule>
    <cfRule type="cellIs" dxfId="215" priority="303" operator="equal">
      <formula>"Menor"</formula>
    </cfRule>
    <cfRule type="cellIs" dxfId="214" priority="304" operator="equal">
      <formula>"Leve"</formula>
    </cfRule>
  </conditionalFormatting>
  <conditionalFormatting sqref="AH12:AH17">
    <cfRule type="cellIs" dxfId="213" priority="296" operator="equal">
      <formula>"Extremo"</formula>
    </cfRule>
    <cfRule type="cellIs" dxfId="212" priority="297" operator="equal">
      <formula>"Alto"</formula>
    </cfRule>
    <cfRule type="cellIs" dxfId="211" priority="298" operator="equal">
      <formula>"Moderado"</formula>
    </cfRule>
    <cfRule type="cellIs" dxfId="210" priority="299" operator="equal">
      <formula>"Bajo"</formula>
    </cfRule>
  </conditionalFormatting>
  <conditionalFormatting sqref="M60">
    <cfRule type="cellIs" dxfId="209" priority="53" operator="equal">
      <formula>"Muy Alta"</formula>
    </cfRule>
    <cfRule type="cellIs" dxfId="208" priority="54" operator="equal">
      <formula>"Alta"</formula>
    </cfRule>
    <cfRule type="cellIs" dxfId="207" priority="55" operator="equal">
      <formula>"Media"</formula>
    </cfRule>
    <cfRule type="cellIs" dxfId="206" priority="56" operator="equal">
      <formula>"Baja"</formula>
    </cfRule>
    <cfRule type="cellIs" dxfId="205" priority="57" operator="equal">
      <formula>"Muy Baja"</formula>
    </cfRule>
  </conditionalFormatting>
  <conditionalFormatting sqref="S18">
    <cfRule type="cellIs" dxfId="204" priority="240" operator="equal">
      <formula>"Extremo"</formula>
    </cfRule>
    <cfRule type="cellIs" dxfId="203" priority="241" operator="equal">
      <formula>"Alto"</formula>
    </cfRule>
    <cfRule type="cellIs" dxfId="202" priority="242" operator="equal">
      <formula>"Moderado"</formula>
    </cfRule>
    <cfRule type="cellIs" dxfId="201" priority="243" operator="equal">
      <formula>"Bajo"</formula>
    </cfRule>
  </conditionalFormatting>
  <conditionalFormatting sqref="AD18:AD23">
    <cfRule type="cellIs" dxfId="200" priority="235" operator="equal">
      <formula>"Muy Alta"</formula>
    </cfRule>
    <cfRule type="cellIs" dxfId="199" priority="236" operator="equal">
      <formula>"Alta"</formula>
    </cfRule>
    <cfRule type="cellIs" dxfId="198" priority="237" operator="equal">
      <formula>"Media"</formula>
    </cfRule>
    <cfRule type="cellIs" dxfId="197" priority="238" operator="equal">
      <formula>"Baja"</formula>
    </cfRule>
    <cfRule type="cellIs" dxfId="196" priority="239" operator="equal">
      <formula>"Muy Baja"</formula>
    </cfRule>
  </conditionalFormatting>
  <conditionalFormatting sqref="AF18:AF23">
    <cfRule type="cellIs" dxfId="195" priority="230" operator="equal">
      <formula>"Catastrófico"</formula>
    </cfRule>
    <cfRule type="cellIs" dxfId="194" priority="231" operator="equal">
      <formula>"Mayor"</formula>
    </cfRule>
    <cfRule type="cellIs" dxfId="193" priority="232" operator="equal">
      <formula>"Moderado"</formula>
    </cfRule>
    <cfRule type="cellIs" dxfId="192" priority="233" operator="equal">
      <formula>"Menor"</formula>
    </cfRule>
    <cfRule type="cellIs" dxfId="191" priority="234" operator="equal">
      <formula>"Leve"</formula>
    </cfRule>
  </conditionalFormatting>
  <conditionalFormatting sqref="AH18:AH23">
    <cfRule type="cellIs" dxfId="190" priority="226" operator="equal">
      <formula>"Extremo"</formula>
    </cfRule>
    <cfRule type="cellIs" dxfId="189" priority="227" operator="equal">
      <formula>"Alto"</formula>
    </cfRule>
    <cfRule type="cellIs" dxfId="188" priority="228" operator="equal">
      <formula>"Moderado"</formula>
    </cfRule>
    <cfRule type="cellIs" dxfId="187" priority="229" operator="equal">
      <formula>"Bajo"</formula>
    </cfRule>
  </conditionalFormatting>
  <conditionalFormatting sqref="M24">
    <cfRule type="cellIs" dxfId="186" priority="221" operator="equal">
      <formula>"Muy Alta"</formula>
    </cfRule>
    <cfRule type="cellIs" dxfId="185" priority="222" operator="equal">
      <formula>"Alta"</formula>
    </cfRule>
    <cfRule type="cellIs" dxfId="184" priority="223" operator="equal">
      <formula>"Media"</formula>
    </cfRule>
    <cfRule type="cellIs" dxfId="183" priority="224" operator="equal">
      <formula>"Baja"</formula>
    </cfRule>
    <cfRule type="cellIs" dxfId="182" priority="225" operator="equal">
      <formula>"Muy Baja"</formula>
    </cfRule>
  </conditionalFormatting>
  <conditionalFormatting sqref="S24">
    <cfRule type="cellIs" dxfId="181" priority="212" operator="equal">
      <formula>"Extremo"</formula>
    </cfRule>
    <cfRule type="cellIs" dxfId="180" priority="213" operator="equal">
      <formula>"Alto"</formula>
    </cfRule>
    <cfRule type="cellIs" dxfId="179" priority="214" operator="equal">
      <formula>"Moderado"</formula>
    </cfRule>
    <cfRule type="cellIs" dxfId="178" priority="215" operator="equal">
      <formula>"Bajo"</formula>
    </cfRule>
  </conditionalFormatting>
  <conditionalFormatting sqref="AD24:AD29">
    <cfRule type="cellIs" dxfId="177" priority="207" operator="equal">
      <formula>"Muy Alta"</formula>
    </cfRule>
    <cfRule type="cellIs" dxfId="176" priority="208" operator="equal">
      <formula>"Alta"</formula>
    </cfRule>
    <cfRule type="cellIs" dxfId="175" priority="209" operator="equal">
      <formula>"Media"</formula>
    </cfRule>
    <cfRule type="cellIs" dxfId="174" priority="210" operator="equal">
      <formula>"Baja"</formula>
    </cfRule>
    <cfRule type="cellIs" dxfId="173" priority="211" operator="equal">
      <formula>"Muy Baja"</formula>
    </cfRule>
  </conditionalFormatting>
  <conditionalFormatting sqref="AF24:AF29">
    <cfRule type="cellIs" dxfId="172" priority="202" operator="equal">
      <formula>"Catastrófico"</formula>
    </cfRule>
    <cfRule type="cellIs" dxfId="171" priority="203" operator="equal">
      <formula>"Mayor"</formula>
    </cfRule>
    <cfRule type="cellIs" dxfId="170" priority="204" operator="equal">
      <formula>"Moderado"</formula>
    </cfRule>
    <cfRule type="cellIs" dxfId="169" priority="205" operator="equal">
      <formula>"Menor"</formula>
    </cfRule>
    <cfRule type="cellIs" dxfId="168" priority="206" operator="equal">
      <formula>"Leve"</formula>
    </cfRule>
  </conditionalFormatting>
  <conditionalFormatting sqref="AH24:AH29">
    <cfRule type="cellIs" dxfId="167" priority="198" operator="equal">
      <formula>"Extremo"</formula>
    </cfRule>
    <cfRule type="cellIs" dxfId="166" priority="199" operator="equal">
      <formula>"Alto"</formula>
    </cfRule>
    <cfRule type="cellIs" dxfId="165" priority="200" operator="equal">
      <formula>"Moderado"</formula>
    </cfRule>
    <cfRule type="cellIs" dxfId="164" priority="201" operator="equal">
      <formula>"Bajo"</formula>
    </cfRule>
  </conditionalFormatting>
  <conditionalFormatting sqref="M30">
    <cfRule type="cellIs" dxfId="163" priority="193" operator="equal">
      <formula>"Muy Alta"</formula>
    </cfRule>
    <cfRule type="cellIs" dxfId="162" priority="194" operator="equal">
      <formula>"Alta"</formula>
    </cfRule>
    <cfRule type="cellIs" dxfId="161" priority="195" operator="equal">
      <formula>"Media"</formula>
    </cfRule>
    <cfRule type="cellIs" dxfId="160" priority="196" operator="equal">
      <formula>"Baja"</formula>
    </cfRule>
    <cfRule type="cellIs" dxfId="159" priority="197" operator="equal">
      <formula>"Muy Baja"</formula>
    </cfRule>
  </conditionalFormatting>
  <conditionalFormatting sqref="S30">
    <cfRule type="cellIs" dxfId="158" priority="184" operator="equal">
      <formula>"Extremo"</formula>
    </cfRule>
    <cfRule type="cellIs" dxfId="157" priority="185" operator="equal">
      <formula>"Alto"</formula>
    </cfRule>
    <cfRule type="cellIs" dxfId="156" priority="186" operator="equal">
      <formula>"Moderado"</formula>
    </cfRule>
    <cfRule type="cellIs" dxfId="155" priority="187" operator="equal">
      <formula>"Bajo"</formula>
    </cfRule>
  </conditionalFormatting>
  <conditionalFormatting sqref="AD30:AD35">
    <cfRule type="cellIs" dxfId="154" priority="179" operator="equal">
      <formula>"Muy Alta"</formula>
    </cfRule>
    <cfRule type="cellIs" dxfId="153" priority="180" operator="equal">
      <formula>"Alta"</formula>
    </cfRule>
    <cfRule type="cellIs" dxfId="152" priority="181" operator="equal">
      <formula>"Media"</formula>
    </cfRule>
    <cfRule type="cellIs" dxfId="151" priority="182" operator="equal">
      <formula>"Baja"</formula>
    </cfRule>
    <cfRule type="cellIs" dxfId="150" priority="183" operator="equal">
      <formula>"Muy Baja"</formula>
    </cfRule>
  </conditionalFormatting>
  <conditionalFormatting sqref="AF30:AF35">
    <cfRule type="cellIs" dxfId="149" priority="174" operator="equal">
      <formula>"Catastrófico"</formula>
    </cfRule>
    <cfRule type="cellIs" dxfId="148" priority="175" operator="equal">
      <formula>"Mayor"</formula>
    </cfRule>
    <cfRule type="cellIs" dxfId="147" priority="176" operator="equal">
      <formula>"Moderado"</formula>
    </cfRule>
    <cfRule type="cellIs" dxfId="146" priority="177" operator="equal">
      <formula>"Menor"</formula>
    </cfRule>
    <cfRule type="cellIs" dxfId="145" priority="178" operator="equal">
      <formula>"Leve"</formula>
    </cfRule>
  </conditionalFormatting>
  <conditionalFormatting sqref="AH30:AH35">
    <cfRule type="cellIs" dxfId="144" priority="170" operator="equal">
      <formula>"Extremo"</formula>
    </cfRule>
    <cfRule type="cellIs" dxfId="143" priority="171" operator="equal">
      <formula>"Alto"</formula>
    </cfRule>
    <cfRule type="cellIs" dxfId="142" priority="172" operator="equal">
      <formula>"Moderado"</formula>
    </cfRule>
    <cfRule type="cellIs" dxfId="141" priority="173" operator="equal">
      <formula>"Bajo"</formula>
    </cfRule>
  </conditionalFormatting>
  <conditionalFormatting sqref="M36">
    <cfRule type="cellIs" dxfId="140" priority="165" operator="equal">
      <formula>"Muy Alta"</formula>
    </cfRule>
    <cfRule type="cellIs" dxfId="139" priority="166" operator="equal">
      <formula>"Alta"</formula>
    </cfRule>
    <cfRule type="cellIs" dxfId="138" priority="167" operator="equal">
      <formula>"Media"</formula>
    </cfRule>
    <cfRule type="cellIs" dxfId="137" priority="168" operator="equal">
      <formula>"Baja"</formula>
    </cfRule>
    <cfRule type="cellIs" dxfId="136" priority="169" operator="equal">
      <formula>"Muy Baja"</formula>
    </cfRule>
  </conditionalFormatting>
  <conditionalFormatting sqref="S36">
    <cfRule type="cellIs" dxfId="135" priority="156" operator="equal">
      <formula>"Extremo"</formula>
    </cfRule>
    <cfRule type="cellIs" dxfId="134" priority="157" operator="equal">
      <formula>"Alto"</formula>
    </cfRule>
    <cfRule type="cellIs" dxfId="133" priority="158" operator="equal">
      <formula>"Moderado"</formula>
    </cfRule>
    <cfRule type="cellIs" dxfId="132" priority="159" operator="equal">
      <formula>"Bajo"</formula>
    </cfRule>
  </conditionalFormatting>
  <conditionalFormatting sqref="AD36:AD41">
    <cfRule type="cellIs" dxfId="131" priority="151" operator="equal">
      <formula>"Muy Alta"</formula>
    </cfRule>
    <cfRule type="cellIs" dxfId="130" priority="152" operator="equal">
      <formula>"Alta"</formula>
    </cfRule>
    <cfRule type="cellIs" dxfId="129" priority="153" operator="equal">
      <formula>"Media"</formula>
    </cfRule>
    <cfRule type="cellIs" dxfId="128" priority="154" operator="equal">
      <formula>"Baja"</formula>
    </cfRule>
    <cfRule type="cellIs" dxfId="127" priority="155" operator="equal">
      <formula>"Muy Baja"</formula>
    </cfRule>
  </conditionalFormatting>
  <conditionalFormatting sqref="AF36:AF41">
    <cfRule type="cellIs" dxfId="126" priority="146" operator="equal">
      <formula>"Catastrófico"</formula>
    </cfRule>
    <cfRule type="cellIs" dxfId="125" priority="147" operator="equal">
      <formula>"Mayor"</formula>
    </cfRule>
    <cfRule type="cellIs" dxfId="124" priority="148" operator="equal">
      <formula>"Moderado"</formula>
    </cfRule>
    <cfRule type="cellIs" dxfId="123" priority="149" operator="equal">
      <formula>"Menor"</formula>
    </cfRule>
    <cfRule type="cellIs" dxfId="122" priority="150" operator="equal">
      <formula>"Leve"</formula>
    </cfRule>
  </conditionalFormatting>
  <conditionalFormatting sqref="AH36:AH41">
    <cfRule type="cellIs" dxfId="121" priority="142" operator="equal">
      <formula>"Extremo"</formula>
    </cfRule>
    <cfRule type="cellIs" dxfId="120" priority="143" operator="equal">
      <formula>"Alto"</formula>
    </cfRule>
    <cfRule type="cellIs" dxfId="119" priority="144" operator="equal">
      <formula>"Moderado"</formula>
    </cfRule>
    <cfRule type="cellIs" dxfId="118" priority="145" operator="equal">
      <formula>"Bajo"</formula>
    </cfRule>
  </conditionalFormatting>
  <conditionalFormatting sqref="M42">
    <cfRule type="cellIs" dxfId="117" priority="137" operator="equal">
      <formula>"Muy Alta"</formula>
    </cfRule>
    <cfRule type="cellIs" dxfId="116" priority="138" operator="equal">
      <formula>"Alta"</formula>
    </cfRule>
    <cfRule type="cellIs" dxfId="115" priority="139" operator="equal">
      <formula>"Media"</formula>
    </cfRule>
    <cfRule type="cellIs" dxfId="114" priority="140" operator="equal">
      <formula>"Baja"</formula>
    </cfRule>
    <cfRule type="cellIs" dxfId="113" priority="141" operator="equal">
      <formula>"Muy Baja"</formula>
    </cfRule>
  </conditionalFormatting>
  <conditionalFormatting sqref="S42">
    <cfRule type="cellIs" dxfId="112" priority="128" operator="equal">
      <formula>"Extremo"</formula>
    </cfRule>
    <cfRule type="cellIs" dxfId="111" priority="129" operator="equal">
      <formula>"Alto"</formula>
    </cfRule>
    <cfRule type="cellIs" dxfId="110" priority="130" operator="equal">
      <formula>"Moderado"</formula>
    </cfRule>
    <cfRule type="cellIs" dxfId="109" priority="131" operator="equal">
      <formula>"Bajo"</formula>
    </cfRule>
  </conditionalFormatting>
  <conditionalFormatting sqref="AD42:AD47">
    <cfRule type="cellIs" dxfId="108" priority="123" operator="equal">
      <formula>"Muy Alta"</formula>
    </cfRule>
    <cfRule type="cellIs" dxfId="107" priority="124" operator="equal">
      <formula>"Alta"</formula>
    </cfRule>
    <cfRule type="cellIs" dxfId="106" priority="125" operator="equal">
      <formula>"Media"</formula>
    </cfRule>
    <cfRule type="cellIs" dxfId="105" priority="126" operator="equal">
      <formula>"Baja"</formula>
    </cfRule>
    <cfRule type="cellIs" dxfId="104" priority="127" operator="equal">
      <formula>"Muy Baja"</formula>
    </cfRule>
  </conditionalFormatting>
  <conditionalFormatting sqref="AF42:AF47">
    <cfRule type="cellIs" dxfId="103" priority="118" operator="equal">
      <formula>"Catastrófico"</formula>
    </cfRule>
    <cfRule type="cellIs" dxfId="102" priority="119" operator="equal">
      <formula>"Mayor"</formula>
    </cfRule>
    <cfRule type="cellIs" dxfId="101" priority="120" operator="equal">
      <formula>"Moderado"</formula>
    </cfRule>
    <cfRule type="cellIs" dxfId="100" priority="121" operator="equal">
      <formula>"Menor"</formula>
    </cfRule>
    <cfRule type="cellIs" dxfId="99" priority="122" operator="equal">
      <formula>"Leve"</formula>
    </cfRule>
  </conditionalFormatting>
  <conditionalFormatting sqref="AH42:AH47">
    <cfRule type="cellIs" dxfId="98" priority="114" operator="equal">
      <formula>"Extremo"</formula>
    </cfRule>
    <cfRule type="cellIs" dxfId="97" priority="115" operator="equal">
      <formula>"Alto"</formula>
    </cfRule>
    <cfRule type="cellIs" dxfId="96" priority="116" operator="equal">
      <formula>"Moderado"</formula>
    </cfRule>
    <cfRule type="cellIs" dxfId="95" priority="117" operator="equal">
      <formula>"Bajo"</formula>
    </cfRule>
  </conditionalFormatting>
  <conditionalFormatting sqref="M48">
    <cfRule type="cellIs" dxfId="94" priority="109" operator="equal">
      <formula>"Muy Alta"</formula>
    </cfRule>
    <cfRule type="cellIs" dxfId="93" priority="110" operator="equal">
      <formula>"Alta"</formula>
    </cfRule>
    <cfRule type="cellIs" dxfId="92" priority="111" operator="equal">
      <formula>"Media"</formula>
    </cfRule>
    <cfRule type="cellIs" dxfId="91" priority="112" operator="equal">
      <formula>"Baja"</formula>
    </cfRule>
    <cfRule type="cellIs" dxfId="90" priority="113" operator="equal">
      <formula>"Muy Baja"</formula>
    </cfRule>
  </conditionalFormatting>
  <conditionalFormatting sqref="S48">
    <cfRule type="cellIs" dxfId="89" priority="100" operator="equal">
      <formula>"Extremo"</formula>
    </cfRule>
    <cfRule type="cellIs" dxfId="88" priority="101" operator="equal">
      <formula>"Alto"</formula>
    </cfRule>
    <cfRule type="cellIs" dxfId="87" priority="102" operator="equal">
      <formula>"Moderado"</formula>
    </cfRule>
    <cfRule type="cellIs" dxfId="86" priority="103" operator="equal">
      <formula>"Bajo"</formula>
    </cfRule>
  </conditionalFormatting>
  <conditionalFormatting sqref="AD48:AD53">
    <cfRule type="cellIs" dxfId="85" priority="95" operator="equal">
      <formula>"Muy Alta"</formula>
    </cfRule>
    <cfRule type="cellIs" dxfId="84" priority="96" operator="equal">
      <formula>"Alta"</formula>
    </cfRule>
    <cfRule type="cellIs" dxfId="83" priority="97" operator="equal">
      <formula>"Media"</formula>
    </cfRule>
    <cfRule type="cellIs" dxfId="82" priority="98" operator="equal">
      <formula>"Baja"</formula>
    </cfRule>
    <cfRule type="cellIs" dxfId="81" priority="99" operator="equal">
      <formula>"Muy Baja"</formula>
    </cfRule>
  </conditionalFormatting>
  <conditionalFormatting sqref="AF48:AF53">
    <cfRule type="cellIs" dxfId="80" priority="90" operator="equal">
      <formula>"Catastrófico"</formula>
    </cfRule>
    <cfRule type="cellIs" dxfId="79" priority="91" operator="equal">
      <formula>"Mayor"</formula>
    </cfRule>
    <cfRule type="cellIs" dxfId="78" priority="92" operator="equal">
      <formula>"Moderado"</formula>
    </cfRule>
    <cfRule type="cellIs" dxfId="77" priority="93" operator="equal">
      <formula>"Menor"</formula>
    </cfRule>
    <cfRule type="cellIs" dxfId="76" priority="94" operator="equal">
      <formula>"Leve"</formula>
    </cfRule>
  </conditionalFormatting>
  <conditionalFormatting sqref="AH48:AH53">
    <cfRule type="cellIs" dxfId="75" priority="86" operator="equal">
      <formula>"Extremo"</formula>
    </cfRule>
    <cfRule type="cellIs" dxfId="74" priority="87" operator="equal">
      <formula>"Alto"</formula>
    </cfRule>
    <cfRule type="cellIs" dxfId="73" priority="88" operator="equal">
      <formula>"Moderado"</formula>
    </cfRule>
    <cfRule type="cellIs" dxfId="72" priority="89" operator="equal">
      <formula>"Bajo"</formula>
    </cfRule>
  </conditionalFormatting>
  <conditionalFormatting sqref="M54">
    <cfRule type="cellIs" dxfId="71" priority="81" operator="equal">
      <formula>"Muy Alta"</formula>
    </cfRule>
    <cfRule type="cellIs" dxfId="70" priority="82" operator="equal">
      <formula>"Alta"</formula>
    </cfRule>
    <cfRule type="cellIs" dxfId="69" priority="83" operator="equal">
      <formula>"Media"</formula>
    </cfRule>
    <cfRule type="cellIs" dxfId="68" priority="84" operator="equal">
      <formula>"Baja"</formula>
    </cfRule>
    <cfRule type="cellIs" dxfId="67" priority="85" operator="equal">
      <formula>"Muy Baja"</formula>
    </cfRule>
  </conditionalFormatting>
  <conditionalFormatting sqref="S54">
    <cfRule type="cellIs" dxfId="66" priority="72" operator="equal">
      <formula>"Extremo"</formula>
    </cfRule>
    <cfRule type="cellIs" dxfId="65" priority="73" operator="equal">
      <formula>"Alto"</formula>
    </cfRule>
    <cfRule type="cellIs" dxfId="64" priority="74" operator="equal">
      <formula>"Moderado"</formula>
    </cfRule>
    <cfRule type="cellIs" dxfId="63" priority="75" operator="equal">
      <formula>"Bajo"</formula>
    </cfRule>
  </conditionalFormatting>
  <conditionalFormatting sqref="AD54:AD59">
    <cfRule type="cellIs" dxfId="62" priority="67" operator="equal">
      <formula>"Muy Alta"</formula>
    </cfRule>
    <cfRule type="cellIs" dxfId="61" priority="68" operator="equal">
      <formula>"Alta"</formula>
    </cfRule>
    <cfRule type="cellIs" dxfId="60" priority="69" operator="equal">
      <formula>"Media"</formula>
    </cfRule>
    <cfRule type="cellIs" dxfId="59" priority="70" operator="equal">
      <formula>"Baja"</formula>
    </cfRule>
    <cfRule type="cellIs" dxfId="58" priority="71" operator="equal">
      <formula>"Muy Baja"</formula>
    </cfRule>
  </conditionalFormatting>
  <conditionalFormatting sqref="AF54:AF59">
    <cfRule type="cellIs" dxfId="57" priority="62" operator="equal">
      <formula>"Catastrófico"</formula>
    </cfRule>
    <cfRule type="cellIs" dxfId="56" priority="63" operator="equal">
      <formula>"Mayor"</formula>
    </cfRule>
    <cfRule type="cellIs" dxfId="55" priority="64" operator="equal">
      <formula>"Moderado"</formula>
    </cfRule>
    <cfRule type="cellIs" dxfId="54" priority="65" operator="equal">
      <formula>"Menor"</formula>
    </cfRule>
    <cfRule type="cellIs" dxfId="53" priority="66" operator="equal">
      <formula>"Leve"</formula>
    </cfRule>
  </conditionalFormatting>
  <conditionalFormatting sqref="AH54:AH59">
    <cfRule type="cellIs" dxfId="52" priority="58" operator="equal">
      <formula>"Extremo"</formula>
    </cfRule>
    <cfRule type="cellIs" dxfId="51" priority="59" operator="equal">
      <formula>"Alto"</formula>
    </cfRule>
    <cfRule type="cellIs" dxfId="50" priority="60" operator="equal">
      <formula>"Moderado"</formula>
    </cfRule>
    <cfRule type="cellIs" dxfId="49" priority="61" operator="equal">
      <formula>"Bajo"</formula>
    </cfRule>
  </conditionalFormatting>
  <conditionalFormatting sqref="S60">
    <cfRule type="cellIs" dxfId="48" priority="44" operator="equal">
      <formula>"Extremo"</formula>
    </cfRule>
    <cfRule type="cellIs" dxfId="47" priority="45" operator="equal">
      <formula>"Alto"</formula>
    </cfRule>
    <cfRule type="cellIs" dxfId="46" priority="46" operator="equal">
      <formula>"Moderado"</formula>
    </cfRule>
    <cfRule type="cellIs" dxfId="45" priority="47" operator="equal">
      <formula>"Bajo"</formula>
    </cfRule>
  </conditionalFormatting>
  <conditionalFormatting sqref="AD60:AD65">
    <cfRule type="cellIs" dxfId="44" priority="39" operator="equal">
      <formula>"Muy Alta"</formula>
    </cfRule>
    <cfRule type="cellIs" dxfId="43" priority="40" operator="equal">
      <formula>"Alta"</formula>
    </cfRule>
    <cfRule type="cellIs" dxfId="42" priority="41" operator="equal">
      <formula>"Media"</formula>
    </cfRule>
    <cfRule type="cellIs" dxfId="41" priority="42" operator="equal">
      <formula>"Baja"</formula>
    </cfRule>
    <cfRule type="cellIs" dxfId="40" priority="43" operator="equal">
      <formula>"Muy Baja"</formula>
    </cfRule>
  </conditionalFormatting>
  <conditionalFormatting sqref="AF60:AF65">
    <cfRule type="cellIs" dxfId="39" priority="34" operator="equal">
      <formula>"Catastrófico"</formula>
    </cfRule>
    <cfRule type="cellIs" dxfId="38" priority="35" operator="equal">
      <formula>"Mayor"</formula>
    </cfRule>
    <cfRule type="cellIs" dxfId="37" priority="36" operator="equal">
      <formula>"Moderado"</formula>
    </cfRule>
    <cfRule type="cellIs" dxfId="36" priority="37" operator="equal">
      <formula>"Menor"</formula>
    </cfRule>
    <cfRule type="cellIs" dxfId="35" priority="38" operator="equal">
      <formula>"Leve"</formula>
    </cfRule>
  </conditionalFormatting>
  <conditionalFormatting sqref="AH60:AH65">
    <cfRule type="cellIs" dxfId="34" priority="30" operator="equal">
      <formula>"Extremo"</formula>
    </cfRule>
    <cfRule type="cellIs" dxfId="33" priority="31" operator="equal">
      <formula>"Alto"</formula>
    </cfRule>
    <cfRule type="cellIs" dxfId="32" priority="32" operator="equal">
      <formula>"Moderado"</formula>
    </cfRule>
    <cfRule type="cellIs" dxfId="31" priority="33" operator="equal">
      <formula>"Bajo"</formula>
    </cfRule>
  </conditionalFormatting>
  <conditionalFormatting sqref="M66">
    <cfRule type="cellIs" dxfId="30" priority="25" operator="equal">
      <formula>"Muy Alta"</formula>
    </cfRule>
    <cfRule type="cellIs" dxfId="29" priority="26" operator="equal">
      <formula>"Alta"</formula>
    </cfRule>
    <cfRule type="cellIs" dxfId="28" priority="27" operator="equal">
      <formula>"Media"</formula>
    </cfRule>
    <cfRule type="cellIs" dxfId="27" priority="28" operator="equal">
      <formula>"Baja"</formula>
    </cfRule>
    <cfRule type="cellIs" dxfId="26" priority="29" operator="equal">
      <formula>"Muy Baja"</formula>
    </cfRule>
  </conditionalFormatting>
  <conditionalFormatting sqref="S66">
    <cfRule type="cellIs" dxfId="25" priority="16" operator="equal">
      <formula>"Extremo"</formula>
    </cfRule>
    <cfRule type="cellIs" dxfId="24" priority="17" operator="equal">
      <formula>"Alto"</formula>
    </cfRule>
    <cfRule type="cellIs" dxfId="23" priority="18" operator="equal">
      <formula>"Moderado"</formula>
    </cfRule>
    <cfRule type="cellIs" dxfId="22" priority="19" operator="equal">
      <formula>"Bajo"</formula>
    </cfRule>
  </conditionalFormatting>
  <conditionalFormatting sqref="AD66:AD71">
    <cfRule type="cellIs" dxfId="21" priority="11" operator="equal">
      <formula>"Muy Alta"</formula>
    </cfRule>
    <cfRule type="cellIs" dxfId="20" priority="12" operator="equal">
      <formula>"Alta"</formula>
    </cfRule>
    <cfRule type="cellIs" dxfId="19" priority="13" operator="equal">
      <formula>"Media"</formula>
    </cfRule>
    <cfRule type="cellIs" dxfId="18" priority="14" operator="equal">
      <formula>"Baja"</formula>
    </cfRule>
    <cfRule type="cellIs" dxfId="17" priority="15" operator="equal">
      <formula>"Muy Baja"</formula>
    </cfRule>
  </conditionalFormatting>
  <conditionalFormatting sqref="AF66:AF71">
    <cfRule type="cellIs" dxfId="16" priority="6" operator="equal">
      <formula>"Catastrófico"</formula>
    </cfRule>
    <cfRule type="cellIs" dxfId="15" priority="7" operator="equal">
      <formula>"Mayor"</formula>
    </cfRule>
    <cfRule type="cellIs" dxfId="14" priority="8" operator="equal">
      <formula>"Moderado"</formula>
    </cfRule>
    <cfRule type="cellIs" dxfId="13" priority="9" operator="equal">
      <formula>"Menor"</formula>
    </cfRule>
    <cfRule type="cellIs" dxfId="12" priority="10" operator="equal">
      <formula>"Leve"</formula>
    </cfRule>
  </conditionalFormatting>
  <conditionalFormatting sqref="AH66:AH71">
    <cfRule type="cellIs" dxfId="11" priority="2" operator="equal">
      <formula>"Extremo"</formula>
    </cfRule>
    <cfRule type="cellIs" dxfId="10" priority="3" operator="equal">
      <formula>"Alto"</formula>
    </cfRule>
    <cfRule type="cellIs" dxfId="9" priority="4" operator="equal">
      <formula>"Moderado"</formula>
    </cfRule>
    <cfRule type="cellIs" dxfId="8" priority="5" operator="equal">
      <formula>"Bajo"</formula>
    </cfRule>
  </conditionalFormatting>
  <conditionalFormatting sqref="P12:P71">
    <cfRule type="containsText" dxfId="7" priority="1" operator="containsText" text="❌">
      <formula>NOT(ISERROR(SEARCH("❌",P12)))</formula>
    </cfRule>
  </conditionalFormatting>
  <dataValidations count="1">
    <dataValidation showInputMessage="1" showErrorMessage="1" error="Recuerde que las acciones se generan bajo la medida de mitigar el riesgo" sqref="AJ18 AJ12 AJ42 AJ54 AP60 AJ48 AJ24 AJ30 AJ36 AJ66" xr:uid="{00000000-0002-0000-0300-000000000000}"/>
  </dataValidations>
  <pageMargins left="0.33" right="0.26" top="0.41" bottom="0.74803149606299213" header="0.31496062992125984" footer="0.31496062992125984"/>
  <pageSetup paperSize="5" scale="26" orientation="landscape" r:id="rId1"/>
  <colBreaks count="1" manualBreakCount="1">
    <brk id="41" max="1048575" man="1"/>
  </colBreaks>
  <ignoredErrors>
    <ignoredError sqref="AG14" formula="1"/>
  </ignoredErrors>
  <drawing r:id="rId2"/>
  <extLst>
    <ext xmlns:x14="http://schemas.microsoft.com/office/spreadsheetml/2009/9/main" uri="{CCE6A557-97BC-4b89-ADB6-D9C93CAAB3DF}">
      <x14:dataValidations xmlns:xm="http://schemas.microsoft.com/office/excel/2006/main" count="24">
        <x14:dataValidation type="list" allowBlank="1" showInputMessage="1" showErrorMessage="1" xr:uid="{00000000-0002-0000-0300-000001000000}">
          <x14:formula1>
            <xm:f>'Tabla Valoración controles'!$D$4:$D$6</xm:f>
          </x14:formula1>
          <xm:sqref>W69:W71 W47 W53 W58:W59 W62:W65 W15:W17 W22:W23 W28:W29 W34:W35 W41</xm:sqref>
        </x14:dataValidation>
        <x14:dataValidation type="list" allowBlank="1" showInputMessage="1" showErrorMessage="1" xr:uid="{00000000-0002-0000-0300-000002000000}">
          <x14:formula1>
            <xm:f>'Tabla Valoración controles'!$D$7:$D$8</xm:f>
          </x14:formula1>
          <xm:sqref>X69:X71 X47 X53 X58:X59 X62:X65 X15:X17 X22:X23 X28:X29 X34:X35 X41</xm:sqref>
        </x14:dataValidation>
        <x14:dataValidation type="list" allowBlank="1" showInputMessage="1" showErrorMessage="1" xr:uid="{00000000-0002-0000-0300-000003000000}">
          <x14:formula1>
            <xm:f>'Tabla Valoración controles'!$D$9:$D$10</xm:f>
          </x14:formula1>
          <xm:sqref>Z69:Z71 Z47 Z53 Z58:Z59 Z62:Z65 Z15:Z17 Z22:Z23 Z28:Z29 Z34:Z35 Z41</xm:sqref>
        </x14:dataValidation>
        <x14:dataValidation type="list" allowBlank="1" showInputMessage="1" showErrorMessage="1" xr:uid="{00000000-0002-0000-0300-000004000000}">
          <x14:formula1>
            <xm:f>'Tabla Valoración controles'!$D$11:$D$12</xm:f>
          </x14:formula1>
          <xm:sqref>AA69:AA71 AA47 AA53 AA58:AA59 AA62:AA65 AA15:AA17 AA22:AA23 AA28:AA29 AA34:AA35 AA41</xm:sqref>
        </x14:dataValidation>
        <x14:dataValidation type="list" allowBlank="1" showInputMessage="1" showErrorMessage="1" xr:uid="{00000000-0002-0000-0300-000005000000}">
          <x14:formula1>
            <xm:f>'Tabla Valoración controles'!$D$13:$D$14</xm:f>
          </x14:formula1>
          <xm:sqref>AB69:AB71 AB47 AB53 AB58:AB59 AB62:AB65 AB15:AB17 AB22:AB23 AB28:AB29 AB34:AB35 AB41</xm:sqref>
        </x14:dataValidation>
        <x14:dataValidation type="list" allowBlank="1" showInputMessage="1" showErrorMessage="1" xr:uid="{00000000-0002-0000-0300-000006000000}">
          <x14:formula1>
            <xm:f>'Opciones Tratamiento'!$E$2:$E$4</xm:f>
          </x14:formula1>
          <xm:sqref>D18:D23</xm:sqref>
        </x14:dataValidation>
        <x14:dataValidation type="list" allowBlank="1" showInputMessage="1" showErrorMessage="1" xr:uid="{00000000-0002-0000-0300-000007000000}">
          <x14:formula1>
            <xm:f>'Opciones Tratamiento'!$B$2:$B$5</xm:f>
          </x14:formula1>
          <xm:sqref>AI52:AI53 AI15:AI17 AI58:AI71 AI41 AI22:AI38</xm:sqref>
        </x14:dataValidation>
        <x14:dataValidation type="list" allowBlank="1" showInputMessage="1" showErrorMessage="1" xr:uid="{00000000-0002-0000-0300-000008000000}">
          <x14:formula1>
            <xm:f>'Tabla Impacto'!$F$210:$F$221</xm:f>
          </x14:formula1>
          <xm:sqref>O12:O71</xm:sqref>
        </x14:dataValidation>
        <x14:dataValidation type="list" allowBlank="1" showInputMessage="1" showErrorMessage="1" xr:uid="{00000000-0002-0000-0300-000009000000}">
          <x14:formula1>
            <xm:f>'Opciones Tratamiento'!$C$22:$C$43</xm:f>
          </x14:formula1>
          <xm:sqref>AK12 AK18:AK71</xm:sqref>
        </x14:dataValidation>
        <x14:dataValidation type="list" allowBlank="1" showInputMessage="1" showErrorMessage="1" xr:uid="{00000000-0002-0000-0300-00000A000000}">
          <x14:formula1>
            <xm:f>'Opciones Tratamiento'!$D$22:$D$23</xm:f>
          </x14:formula1>
          <xm:sqref>AN18 AN12 AN24 AN30 AN42:AN71 AN36</xm:sqref>
        </x14:dataValidation>
        <x14:dataValidation type="list" allowBlank="1" showInputMessage="1" showErrorMessage="1" xr:uid="{00000000-0002-0000-0300-00000B000000}">
          <x14:formula1>
            <xm:f>'Opciones Tratamiento'!$E$22:$E$25</xm:f>
          </x14:formula1>
          <xm:sqref>B12:B71</xm:sqref>
        </x14:dataValidation>
        <x14:dataValidation type="list" allowBlank="1" showInputMessage="1" showErrorMessage="1" xr:uid="{00000000-0002-0000-0300-00000C000000}">
          <x14:formula1>
            <xm:f>'Opciones Tratamiento'!$B$12:$B$20</xm:f>
          </x14:formula1>
          <xm:sqref>K18:K29 K48:K71</xm:sqref>
        </x14:dataValidation>
        <x14:dataValidation type="list" allowBlank="1" showInputMessage="1" showErrorMessage="1" xr:uid="{00000000-0002-0000-0300-00000D000000}">
          <x14:formula1>
            <xm:f>'D:\CESAR\Riesgos\[FORMATO MAPA DE RIESGOS APOYO DIGSA - AREDO VF.xlsx]Tabla Valoración controles'!#REF!</xm:f>
          </x14:formula1>
          <xm:sqref>Z52:AB52 W52:X52</xm:sqref>
        </x14:dataValidation>
        <x14:dataValidation type="list" allowBlank="1" showInputMessage="1" showErrorMessage="1" xr:uid="{00000000-0002-0000-0300-00000E000000}">
          <x14:formula1>
            <xm:f>'D:\CESAR\Riesgos\[FORMATO MAPA DE RIESGOS APOYO DIGSA ASUNTO LEGALES VF.xlsx]Opciones Tratamiento'!#REF!</xm:f>
          </x14:formula1>
          <xm:sqref>AI56:AI57 D66:D71 D12:D17 AI12:AI14</xm:sqref>
        </x14:dataValidation>
        <x14:dataValidation type="list" allowBlank="1" showInputMessage="1" showErrorMessage="1" xr:uid="{00000000-0002-0000-0300-00000F000000}">
          <x14:formula1>
            <xm:f>'D:\CESAR\Riesgos\[FORMATO MAPA DE RIESGOS APOYO DIGSA ASUNTO LEGALES VF.xlsx]Tabla Valoración controles'!#REF!</xm:f>
          </x14:formula1>
          <xm:sqref>Z66:AB68 W56:X57 Z56:AB57 W66:X68 W12:X14 Z12:AB14</xm:sqref>
        </x14:dataValidation>
        <x14:dataValidation type="list" allowBlank="1" showInputMessage="1" showErrorMessage="1" xr:uid="{00000000-0002-0000-0300-000010000000}">
          <x14:formula1>
            <xm:f>'D:\CESAR\RIESGOS\RIESGOS 2022\[25102022 MAPA DE RIESGOS DIGSA2023 V1.xlsx]Tabla Valoración controles'!#REF!</xm:f>
          </x14:formula1>
          <xm:sqref>Z18:AB21 W18:X21</xm:sqref>
        </x14:dataValidation>
        <x14:dataValidation type="list" allowBlank="1" showInputMessage="1" showErrorMessage="1" xr:uid="{00000000-0002-0000-0300-000011000000}">
          <x14:formula1>
            <xm:f>'D:\CESAR\RIESGOS\RIESGOS 2022\[25102022 MAPA DE RIESGOS DIGSA2023 V1.xlsx]Opciones Tratamiento'!#REF!</xm:f>
          </x14:formula1>
          <xm:sqref>AI18:AI21</xm:sqref>
        </x14:dataValidation>
        <x14:dataValidation type="list" allowBlank="1" showInputMessage="1" showErrorMessage="1" xr:uid="{00000000-0002-0000-0300-000012000000}">
          <x14:formula1>
            <xm:f>'D:\CESAR\Riesgos\[FORMATO MAPA DE RIESGOS APOYO GRUTH 2V1.xlsx]Opciones Tratamiento'!#REF!</xm:f>
          </x14:formula1>
          <xm:sqref>D24:D65 AI39:AI40</xm:sqref>
        </x14:dataValidation>
        <x14:dataValidation type="list" allowBlank="1" showInputMessage="1" showErrorMessage="1" xr:uid="{00000000-0002-0000-0300-000013000000}">
          <x14:formula1>
            <xm:f>'D:\CESAR\Riesgos\[FORMATO MAPA DE RIESGOS APOYO GRUTH 2V1.xlsx]Tabla Valoración controles'!#REF!</xm:f>
          </x14:formula1>
          <xm:sqref>Z36:AB40 Z24:AB27 W24:X27 Z30:AB33 W36:X40 W30:X33</xm:sqref>
        </x14:dataValidation>
        <x14:dataValidation type="list" allowBlank="1" showInputMessage="1" showErrorMessage="1" xr:uid="{00000000-0002-0000-0300-000014000000}">
          <x14:formula1>
            <xm:f>'C:\Users\julisal\Downloads\[FORMATO MAPA DE RIESGOS APOYO DIGSA SST 2023.xlsx]Tabla Valoración controles'!#REF!</xm:f>
          </x14:formula1>
          <xm:sqref>X54:X55 Z42:AB46 W51 W42:X46</xm:sqref>
        </x14:dataValidation>
        <x14:dataValidation type="list" allowBlank="1" showInputMessage="1" showErrorMessage="1" xr:uid="{00000000-0002-0000-0300-000015000000}">
          <x14:formula1>
            <xm:f>'C:\Users\julisal\Downloads\[FORMATO MAPA DE RIESGOS APOYO DIGSA SST 2023.xlsx]Opciones Tratamiento'!#REF!</xm:f>
          </x14:formula1>
          <xm:sqref>AI42:AI47</xm:sqref>
        </x14:dataValidation>
        <x14:dataValidation type="list" allowBlank="1" showInputMessage="1" showErrorMessage="1" xr:uid="{00000000-0002-0000-0300-000016000000}">
          <x14:formula1>
            <xm:f>'C:\Users\julisal\Downloads\[02_Formato Mapa de Riesgos DIGSA-GRUAA OCT 2022 V8.xlsx]Tabla Valoración controles'!#REF!</xm:f>
          </x14:formula1>
          <xm:sqref>Z54:AB55 Z48:AB51 W48:W50 X48:X51 W61 W54:W55</xm:sqref>
        </x14:dataValidation>
        <x14:dataValidation type="list" allowBlank="1" showInputMessage="1" showErrorMessage="1" xr:uid="{00000000-0002-0000-0300-000017000000}">
          <x14:formula1>
            <xm:f>'C:\Users\julisal\Downloads\[02_Formato Mapa de Riesgos DIGSA-GRUAA OCT 2022 V8.xlsx]Opciones Tratamiento'!#REF!</xm:f>
          </x14:formula1>
          <xm:sqref>AI48:AI51 AI54:AI55</xm:sqref>
        </x14:dataValidation>
        <x14:dataValidation type="list" allowBlank="1" showInputMessage="1" showErrorMessage="1" xr:uid="{00000000-0002-0000-0300-000018000000}">
          <x14:formula1>
            <xm:f>'D:\CESAR\RIESGOS\[02_Formato Mapa de Riesgos DIGSA-GRUAA OCT 2022 V8 (1).xlsx]Tabla Valoración controles'!#REF!</xm:f>
          </x14:formula1>
          <xm:sqref>X60:X61 Z60:AB61 W60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CU140"/>
  <sheetViews>
    <sheetView zoomScale="50" zoomScaleNormal="50" workbookViewId="0">
      <selection activeCell="AR66" sqref="AR66"/>
    </sheetView>
  </sheetViews>
  <sheetFormatPr baseColWidth="10" defaultRowHeight="15" x14ac:dyDescent="0.25"/>
  <cols>
    <col min="2" max="39" width="5.7109375" customWidth="1"/>
    <col min="41" max="46" width="5.7109375" customWidth="1"/>
  </cols>
  <sheetData>
    <row r="1" spans="1:99"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row>
    <row r="2" spans="1:99" ht="18" customHeight="1" x14ac:dyDescent="0.25">
      <c r="A2" s="69"/>
      <c r="B2" s="517" t="s">
        <v>159</v>
      </c>
      <c r="C2" s="517"/>
      <c r="D2" s="517"/>
      <c r="E2" s="517"/>
      <c r="F2" s="517"/>
      <c r="G2" s="517"/>
      <c r="H2" s="517"/>
      <c r="I2" s="517"/>
      <c r="J2" s="485" t="s">
        <v>2</v>
      </c>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5"/>
      <c r="AM2" s="485"/>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row>
    <row r="3" spans="1:99" ht="18.75" customHeight="1" x14ac:dyDescent="0.25">
      <c r="A3" s="69"/>
      <c r="B3" s="517"/>
      <c r="C3" s="517"/>
      <c r="D3" s="517"/>
      <c r="E3" s="517"/>
      <c r="F3" s="517"/>
      <c r="G3" s="517"/>
      <c r="H3" s="517"/>
      <c r="I3" s="517"/>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row>
    <row r="4" spans="1:99" ht="15" customHeight="1" x14ac:dyDescent="0.25">
      <c r="A4" s="69"/>
      <c r="B4" s="517"/>
      <c r="C4" s="517"/>
      <c r="D4" s="517"/>
      <c r="E4" s="517"/>
      <c r="F4" s="517"/>
      <c r="G4" s="517"/>
      <c r="H4" s="517"/>
      <c r="I4" s="517"/>
      <c r="J4" s="485"/>
      <c r="K4" s="485"/>
      <c r="L4" s="485"/>
      <c r="M4" s="485"/>
      <c r="N4" s="485"/>
      <c r="O4" s="485"/>
      <c r="P4" s="485"/>
      <c r="Q4" s="485"/>
      <c r="R4" s="485"/>
      <c r="S4" s="485"/>
      <c r="T4" s="485"/>
      <c r="U4" s="485"/>
      <c r="V4" s="485"/>
      <c r="W4" s="485"/>
      <c r="X4" s="485"/>
      <c r="Y4" s="485"/>
      <c r="Z4" s="485"/>
      <c r="AA4" s="485"/>
      <c r="AB4" s="485"/>
      <c r="AC4" s="485"/>
      <c r="AD4" s="485"/>
      <c r="AE4" s="485"/>
      <c r="AF4" s="485"/>
      <c r="AG4" s="485"/>
      <c r="AH4" s="485"/>
      <c r="AI4" s="485"/>
      <c r="AJ4" s="485"/>
      <c r="AK4" s="485"/>
      <c r="AL4" s="485"/>
      <c r="AM4" s="485"/>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row>
    <row r="5" spans="1:99"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row>
    <row r="6" spans="1:99" ht="15" customHeight="1" x14ac:dyDescent="0.25">
      <c r="A6" s="69"/>
      <c r="B6" s="432" t="s">
        <v>4</v>
      </c>
      <c r="C6" s="432"/>
      <c r="D6" s="433"/>
      <c r="E6" s="470" t="s">
        <v>116</v>
      </c>
      <c r="F6" s="471"/>
      <c r="G6" s="471"/>
      <c r="H6" s="471"/>
      <c r="I6" s="472"/>
      <c r="J6" s="481" t="str">
        <f>IF(AND('Mapa final'!$M$12="Muy Alta",'Mapa final'!$Q$12="Leve"),CONCATENATE("R",'Mapa final'!$A$12),"")</f>
        <v/>
      </c>
      <c r="K6" s="482"/>
      <c r="L6" s="482" t="str">
        <f>IF(AND('Mapa final'!$M$18="Muy Alta",'Mapa final'!$Q$18="Leve"),CONCATENATE("R",'Mapa final'!$A$18),"")</f>
        <v/>
      </c>
      <c r="M6" s="482"/>
      <c r="N6" s="482" t="str">
        <f>IF(AND('Mapa final'!$M$24="Muy Alta",'Mapa final'!$Q$24="Leve"),CONCATENATE("R",'Mapa final'!$A$24),"")</f>
        <v/>
      </c>
      <c r="O6" s="484"/>
      <c r="P6" s="481" t="str">
        <f>IF(AND('Mapa final'!$M$12="Muy Alta",'Mapa final'!$Q$12="Menor"),CONCATENATE("R",'Mapa final'!$A$12),"")</f>
        <v/>
      </c>
      <c r="Q6" s="482"/>
      <c r="R6" s="482" t="str">
        <f>IF(AND('Mapa final'!$M$18="Muy Alta",'Mapa final'!$Q$18="Menor"),CONCATENATE("R",'Mapa final'!$A$18),"")</f>
        <v/>
      </c>
      <c r="S6" s="482"/>
      <c r="T6" s="482" t="str">
        <f>IF(AND('Mapa final'!$M$24="Muy Alta",'Mapa final'!$Q$24="Menor"),CONCATENATE("R",'Mapa final'!$A$24),"")</f>
        <v/>
      </c>
      <c r="U6" s="484"/>
      <c r="V6" s="481" t="str">
        <f>IF(AND('Mapa final'!$M$12="Muy Alta",'Mapa final'!$Q$12="Moderado"),CONCATENATE("R",'Mapa final'!$A$12),"")</f>
        <v>R1</v>
      </c>
      <c r="W6" s="482"/>
      <c r="X6" s="482" t="str">
        <f>IF(AND('Mapa final'!$M$18="Muy Alta",'Mapa final'!$Q$18="Moderado"),CONCATENATE("R",'Mapa final'!$A$18),"")</f>
        <v/>
      </c>
      <c r="Y6" s="482"/>
      <c r="Z6" s="482" t="str">
        <f>IF(AND('Mapa final'!$M$24="Muy Alta",'Mapa final'!$Q$24="Moderado"),CONCATENATE("R",'Mapa final'!$A$24),"")</f>
        <v/>
      </c>
      <c r="AA6" s="484"/>
      <c r="AB6" s="481" t="str">
        <f>IF(AND('Mapa final'!$M$12="Muy Alta",'Mapa final'!$Q$12="Mayor"),CONCATENATE("R",'Mapa final'!$A$12),"")</f>
        <v/>
      </c>
      <c r="AC6" s="482"/>
      <c r="AD6" s="482" t="str">
        <f>IF(AND('Mapa final'!$M$18="Muy Alta",'Mapa final'!$Q$18="Mayor"),CONCATENATE("R",'Mapa final'!$A$18),"")</f>
        <v/>
      </c>
      <c r="AE6" s="482"/>
      <c r="AF6" s="482" t="str">
        <f>IF(AND('Mapa final'!$M$24="Muy Alta",'Mapa final'!$Q$24="Mayor"),CONCATENATE("R",'Mapa final'!$A$24),"")</f>
        <v/>
      </c>
      <c r="AG6" s="484"/>
      <c r="AH6" s="496" t="str">
        <f>IF(AND('Mapa final'!$M$12="Muy Alta",'Mapa final'!$Q$12="Catastrófico"),CONCATENATE("R",'Mapa final'!$A$12),"")</f>
        <v/>
      </c>
      <c r="AI6" s="497"/>
      <c r="AJ6" s="497" t="str">
        <f>IF(AND('Mapa final'!$M$18="Muy Alta",'Mapa final'!$Q$18="Catastrófico"),CONCATENATE("R",'Mapa final'!$A$18),"")</f>
        <v/>
      </c>
      <c r="AK6" s="497"/>
      <c r="AL6" s="497" t="str">
        <f>IF(AND('Mapa final'!$M$24="Muy Alta",'Mapa final'!$Q$24="Catastrófico"),CONCATENATE("R",'Mapa final'!$A$24),"")</f>
        <v>R3</v>
      </c>
      <c r="AM6" s="498"/>
      <c r="AO6" s="434" t="s">
        <v>79</v>
      </c>
      <c r="AP6" s="435"/>
      <c r="AQ6" s="435"/>
      <c r="AR6" s="435"/>
      <c r="AS6" s="435"/>
      <c r="AT6" s="436"/>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row>
    <row r="7" spans="1:99" ht="15" customHeight="1" x14ac:dyDescent="0.25">
      <c r="A7" s="69"/>
      <c r="B7" s="432"/>
      <c r="C7" s="432"/>
      <c r="D7" s="433"/>
      <c r="E7" s="473"/>
      <c r="F7" s="474"/>
      <c r="G7" s="474"/>
      <c r="H7" s="474"/>
      <c r="I7" s="475"/>
      <c r="J7" s="483"/>
      <c r="K7" s="479"/>
      <c r="L7" s="479"/>
      <c r="M7" s="479"/>
      <c r="N7" s="479"/>
      <c r="O7" s="480"/>
      <c r="P7" s="483"/>
      <c r="Q7" s="479"/>
      <c r="R7" s="479"/>
      <c r="S7" s="479"/>
      <c r="T7" s="479"/>
      <c r="U7" s="480"/>
      <c r="V7" s="483"/>
      <c r="W7" s="479"/>
      <c r="X7" s="479"/>
      <c r="Y7" s="479"/>
      <c r="Z7" s="479"/>
      <c r="AA7" s="480"/>
      <c r="AB7" s="483"/>
      <c r="AC7" s="479"/>
      <c r="AD7" s="479"/>
      <c r="AE7" s="479"/>
      <c r="AF7" s="479"/>
      <c r="AG7" s="480"/>
      <c r="AH7" s="490"/>
      <c r="AI7" s="491"/>
      <c r="AJ7" s="491"/>
      <c r="AK7" s="491"/>
      <c r="AL7" s="491"/>
      <c r="AM7" s="492"/>
      <c r="AN7" s="69"/>
      <c r="AO7" s="437"/>
      <c r="AP7" s="438"/>
      <c r="AQ7" s="438"/>
      <c r="AR7" s="438"/>
      <c r="AS7" s="438"/>
      <c r="AT7" s="43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row>
    <row r="8" spans="1:99" ht="15" customHeight="1" x14ac:dyDescent="0.25">
      <c r="A8" s="69"/>
      <c r="B8" s="432"/>
      <c r="C8" s="432"/>
      <c r="D8" s="433"/>
      <c r="E8" s="473"/>
      <c r="F8" s="474"/>
      <c r="G8" s="474"/>
      <c r="H8" s="474"/>
      <c r="I8" s="475"/>
      <c r="J8" s="483" t="str">
        <f>IF(AND('Mapa final'!$M$30="Muy Alta",'Mapa final'!$Q$30="Leve"),CONCATENATE("R",'Mapa final'!$A$30),"")</f>
        <v/>
      </c>
      <c r="K8" s="479"/>
      <c r="L8" s="479" t="str">
        <f>IF(AND('Mapa final'!$M$36="Muy Alta",'Mapa final'!$Q$36="Leve"),CONCATENATE("R",'Mapa final'!$A$36),"")</f>
        <v/>
      </c>
      <c r="M8" s="479"/>
      <c r="N8" s="479" t="str">
        <f>IF(AND('Mapa final'!$M$42="Muy Alta",'Mapa final'!$Q$42="Leve"),CONCATENATE("R",'Mapa final'!$A$42),"")</f>
        <v/>
      </c>
      <c r="O8" s="480"/>
      <c r="P8" s="483" t="str">
        <f>IF(AND('Mapa final'!$M$30="Muy Alta",'Mapa final'!$Q$30="Menor"),CONCATENATE("R",'Mapa final'!$A$30),"")</f>
        <v/>
      </c>
      <c r="Q8" s="479"/>
      <c r="R8" s="479" t="str">
        <f>IF(AND('Mapa final'!$M$36="Muy Alta",'Mapa final'!$Q$36="Menor"),CONCATENATE("R",'Mapa final'!$A$36),"")</f>
        <v/>
      </c>
      <c r="S8" s="479"/>
      <c r="T8" s="479" t="str">
        <f>IF(AND('Mapa final'!$M$42="Muy Alta",'Mapa final'!$Q$42="Menor"),CONCATENATE("R",'Mapa final'!$A$42),"")</f>
        <v/>
      </c>
      <c r="U8" s="480"/>
      <c r="V8" s="483" t="str">
        <f>IF(AND('Mapa final'!$M$30="Muy Alta",'Mapa final'!$Q$30="Moderado"),CONCATENATE("R",'Mapa final'!$A$30),"")</f>
        <v/>
      </c>
      <c r="W8" s="479"/>
      <c r="X8" s="479" t="str">
        <f>IF(AND('Mapa final'!$M$36="Muy Alta",'Mapa final'!$Q$36="Moderado"),CONCATENATE("R",'Mapa final'!$A$36),"")</f>
        <v/>
      </c>
      <c r="Y8" s="479"/>
      <c r="Z8" s="479" t="str">
        <f>IF(AND('Mapa final'!$M$42="Muy Alta",'Mapa final'!$Q$42="Moderado"),CONCATENATE("R",'Mapa final'!$A$42),"")</f>
        <v/>
      </c>
      <c r="AA8" s="480"/>
      <c r="AB8" s="483" t="str">
        <f>IF(AND('Mapa final'!$M$30="Muy Alta",'Mapa final'!$Q$30="Mayor"),CONCATENATE("R",'Mapa final'!$A$30),"")</f>
        <v/>
      </c>
      <c r="AC8" s="479"/>
      <c r="AD8" s="479" t="str">
        <f>IF(AND('Mapa final'!$M$36="Muy Alta",'Mapa final'!$Q$36="Mayor"),CONCATENATE("R",'Mapa final'!$A$36),"")</f>
        <v>R5</v>
      </c>
      <c r="AE8" s="479"/>
      <c r="AF8" s="479" t="str">
        <f>IF(AND('Mapa final'!$M$42="Muy Alta",'Mapa final'!$Q$42="Mayor"),CONCATENATE("R",'Mapa final'!$A$42),"")</f>
        <v/>
      </c>
      <c r="AG8" s="480"/>
      <c r="AH8" s="490" t="str">
        <f>IF(AND('Mapa final'!$M$30="Muy Alta",'Mapa final'!$Q$30="Catastrófico"),CONCATENATE("R",'Mapa final'!$A$30),"")</f>
        <v/>
      </c>
      <c r="AI8" s="491"/>
      <c r="AJ8" s="491" t="str">
        <f>IF(AND('Mapa final'!$M$36="Muy Alta",'Mapa final'!$Q$36="Catastrófico"),CONCATENATE("R",'Mapa final'!$A$36),"")</f>
        <v/>
      </c>
      <c r="AK8" s="491"/>
      <c r="AL8" s="491" t="str">
        <f>IF(AND('Mapa final'!$M$42="Muy Alta",'Mapa final'!$Q$42="Catastrófico"),CONCATENATE("R",'Mapa final'!$A$42),"")</f>
        <v/>
      </c>
      <c r="AM8" s="492"/>
      <c r="AN8" s="69"/>
      <c r="AO8" s="437"/>
      <c r="AP8" s="438"/>
      <c r="AQ8" s="438"/>
      <c r="AR8" s="438"/>
      <c r="AS8" s="438"/>
      <c r="AT8" s="43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row>
    <row r="9" spans="1:99" ht="15" customHeight="1" x14ac:dyDescent="0.25">
      <c r="A9" s="69"/>
      <c r="B9" s="432"/>
      <c r="C9" s="432"/>
      <c r="D9" s="433"/>
      <c r="E9" s="473"/>
      <c r="F9" s="474"/>
      <c r="G9" s="474"/>
      <c r="H9" s="474"/>
      <c r="I9" s="475"/>
      <c r="J9" s="483"/>
      <c r="K9" s="479"/>
      <c r="L9" s="479"/>
      <c r="M9" s="479"/>
      <c r="N9" s="479"/>
      <c r="O9" s="480"/>
      <c r="P9" s="483"/>
      <c r="Q9" s="479"/>
      <c r="R9" s="479"/>
      <c r="S9" s="479"/>
      <c r="T9" s="479"/>
      <c r="U9" s="480"/>
      <c r="V9" s="483"/>
      <c r="W9" s="479"/>
      <c r="X9" s="479"/>
      <c r="Y9" s="479"/>
      <c r="Z9" s="479"/>
      <c r="AA9" s="480"/>
      <c r="AB9" s="483"/>
      <c r="AC9" s="479"/>
      <c r="AD9" s="479"/>
      <c r="AE9" s="479"/>
      <c r="AF9" s="479"/>
      <c r="AG9" s="480"/>
      <c r="AH9" s="490"/>
      <c r="AI9" s="491"/>
      <c r="AJ9" s="491"/>
      <c r="AK9" s="491"/>
      <c r="AL9" s="491"/>
      <c r="AM9" s="492"/>
      <c r="AN9" s="69"/>
      <c r="AO9" s="437"/>
      <c r="AP9" s="438"/>
      <c r="AQ9" s="438"/>
      <c r="AR9" s="438"/>
      <c r="AS9" s="438"/>
      <c r="AT9" s="43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row>
    <row r="10" spans="1:99" ht="15" customHeight="1" x14ac:dyDescent="0.25">
      <c r="A10" s="69"/>
      <c r="B10" s="432"/>
      <c r="C10" s="432"/>
      <c r="D10" s="433"/>
      <c r="E10" s="473"/>
      <c r="F10" s="474"/>
      <c r="G10" s="474"/>
      <c r="H10" s="474"/>
      <c r="I10" s="475"/>
      <c r="J10" s="483" t="str">
        <f>IF(AND('Mapa final'!$M$48="Muy Alta",'Mapa final'!$Q$48="Leve"),CONCATENATE("R",'Mapa final'!$A$48),"")</f>
        <v/>
      </c>
      <c r="K10" s="479"/>
      <c r="L10" s="479" t="str">
        <f>IF(AND('Mapa final'!$M$54="Muy Alta",'Mapa final'!$Q$54="Leve"),CONCATENATE("R",'Mapa final'!$A$54),"")</f>
        <v/>
      </c>
      <c r="M10" s="479"/>
      <c r="N10" s="479" t="str">
        <f>IF(AND('Mapa final'!$M$60="Muy Alta",'Mapa final'!$Q$60="Leve"),CONCATENATE("R",'Mapa final'!$A$60),"")</f>
        <v/>
      </c>
      <c r="O10" s="480"/>
      <c r="P10" s="483" t="str">
        <f>IF(AND('Mapa final'!$M$48="Muy Alta",'Mapa final'!$Q$48="Menor"),CONCATENATE("R",'Mapa final'!$A$48),"")</f>
        <v/>
      </c>
      <c r="Q10" s="479"/>
      <c r="R10" s="479" t="str">
        <f>IF(AND('Mapa final'!$M$54="Muy Alta",'Mapa final'!$Q$54="Menor"),CONCATENATE("R",'Mapa final'!$A$54),"")</f>
        <v/>
      </c>
      <c r="S10" s="479"/>
      <c r="T10" s="479" t="str">
        <f>IF(AND('Mapa final'!$M$60="Muy Alta",'Mapa final'!$Q$60="Menor"),CONCATENATE("R",'Mapa final'!$A$60),"")</f>
        <v/>
      </c>
      <c r="U10" s="480"/>
      <c r="V10" s="483" t="str">
        <f>IF(AND('Mapa final'!$M$48="Muy Alta",'Mapa final'!$Q$48="Moderado"),CONCATENATE("R",'Mapa final'!$A$48),"")</f>
        <v/>
      </c>
      <c r="W10" s="479"/>
      <c r="X10" s="479" t="str">
        <f>IF(AND('Mapa final'!$M$54="Muy Alta",'Mapa final'!$Q$54="Moderado"),CONCATENATE("R",'Mapa final'!$A$54),"")</f>
        <v/>
      </c>
      <c r="Y10" s="479"/>
      <c r="Z10" s="479" t="str">
        <f>IF(AND('Mapa final'!$M$60="Muy Alta",'Mapa final'!$Q$60="Moderado"),CONCATENATE("R",'Mapa final'!$A$60),"")</f>
        <v/>
      </c>
      <c r="AA10" s="480"/>
      <c r="AB10" s="483" t="str">
        <f>IF(AND('Mapa final'!$M$48="Muy Alta",'Mapa final'!$Q$48="Mayor"),CONCATENATE("R",'Mapa final'!$A$48),"")</f>
        <v/>
      </c>
      <c r="AC10" s="479"/>
      <c r="AD10" s="479" t="str">
        <f>IF(AND('Mapa final'!$M$54="Muy Alta",'Mapa final'!$Q$54="Mayor"),CONCATENATE("R",'Mapa final'!$A$54),"")</f>
        <v/>
      </c>
      <c r="AE10" s="479"/>
      <c r="AF10" s="479" t="str">
        <f>IF(AND('Mapa final'!$M$60="Muy Alta",'Mapa final'!$Q$60="Mayor"),CONCATENATE("R",'Mapa final'!$A$60),"")</f>
        <v/>
      </c>
      <c r="AG10" s="480"/>
      <c r="AH10" s="490" t="str">
        <f>IF(AND('Mapa final'!$M$48="Muy Alta",'Mapa final'!$Q$48="Catastrófico"),CONCATENATE("R",'Mapa final'!$A$48),"")</f>
        <v/>
      </c>
      <c r="AI10" s="491"/>
      <c r="AJ10" s="491" t="str">
        <f>IF(AND('Mapa final'!$M$54="Muy Alta",'Mapa final'!$Q$54="Catastrófico"),CONCATENATE("R",'Mapa final'!$A$54),"")</f>
        <v/>
      </c>
      <c r="AK10" s="491"/>
      <c r="AL10" s="491" t="str">
        <f>IF(AND('Mapa final'!$M$60="Muy Alta",'Mapa final'!$Q$60="Catastrófico"),CONCATENATE("R",'Mapa final'!$A$60),"")</f>
        <v/>
      </c>
      <c r="AM10" s="492"/>
      <c r="AN10" s="69"/>
      <c r="AO10" s="437"/>
      <c r="AP10" s="438"/>
      <c r="AQ10" s="438"/>
      <c r="AR10" s="438"/>
      <c r="AS10" s="438"/>
      <c r="AT10" s="43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row>
    <row r="11" spans="1:99" ht="15" customHeight="1" x14ac:dyDescent="0.25">
      <c r="A11" s="69"/>
      <c r="B11" s="432"/>
      <c r="C11" s="432"/>
      <c r="D11" s="433"/>
      <c r="E11" s="473"/>
      <c r="F11" s="474"/>
      <c r="G11" s="474"/>
      <c r="H11" s="474"/>
      <c r="I11" s="475"/>
      <c r="J11" s="483"/>
      <c r="K11" s="479"/>
      <c r="L11" s="479"/>
      <c r="M11" s="479"/>
      <c r="N11" s="479"/>
      <c r="O11" s="480"/>
      <c r="P11" s="483"/>
      <c r="Q11" s="479"/>
      <c r="R11" s="479"/>
      <c r="S11" s="479"/>
      <c r="T11" s="479"/>
      <c r="U11" s="480"/>
      <c r="V11" s="483"/>
      <c r="W11" s="479"/>
      <c r="X11" s="479"/>
      <c r="Y11" s="479"/>
      <c r="Z11" s="479"/>
      <c r="AA11" s="480"/>
      <c r="AB11" s="483"/>
      <c r="AC11" s="479"/>
      <c r="AD11" s="479"/>
      <c r="AE11" s="479"/>
      <c r="AF11" s="479"/>
      <c r="AG11" s="480"/>
      <c r="AH11" s="490"/>
      <c r="AI11" s="491"/>
      <c r="AJ11" s="491"/>
      <c r="AK11" s="491"/>
      <c r="AL11" s="491"/>
      <c r="AM11" s="492"/>
      <c r="AN11" s="69"/>
      <c r="AO11" s="437"/>
      <c r="AP11" s="438"/>
      <c r="AQ11" s="438"/>
      <c r="AR11" s="438"/>
      <c r="AS11" s="438"/>
      <c r="AT11" s="43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row>
    <row r="12" spans="1:99" ht="15" customHeight="1" x14ac:dyDescent="0.25">
      <c r="A12" s="69"/>
      <c r="B12" s="432"/>
      <c r="C12" s="432"/>
      <c r="D12" s="433"/>
      <c r="E12" s="473"/>
      <c r="F12" s="474"/>
      <c r="G12" s="474"/>
      <c r="H12" s="474"/>
      <c r="I12" s="475"/>
      <c r="J12" s="483" t="str">
        <f>IF(AND('Mapa final'!$M$66="Muy Alta",'Mapa final'!$Q$66="Leve"),CONCATENATE("R",'Mapa final'!$A$66),"")</f>
        <v/>
      </c>
      <c r="K12" s="479"/>
      <c r="L12" s="479" t="str">
        <f>IF(AND('Mapa final'!$M$72="Muy Alta",'Mapa final'!$Q$72="Leve"),CONCATENATE("R",'Mapa final'!$A$72),"")</f>
        <v/>
      </c>
      <c r="M12" s="479"/>
      <c r="N12" s="479" t="str">
        <f>IF(AND('Mapa final'!$M$78="Muy Alta",'Mapa final'!$Q$78="Leve"),CONCATENATE("R",'Mapa final'!$A$78),"")</f>
        <v/>
      </c>
      <c r="O12" s="480"/>
      <c r="P12" s="483" t="str">
        <f>IF(AND('Mapa final'!$M$66="Muy Alta",'Mapa final'!$Q$66="Menor"),CONCATENATE("R",'Mapa final'!$A$66),"")</f>
        <v/>
      </c>
      <c r="Q12" s="479"/>
      <c r="R12" s="479" t="str">
        <f>IF(AND('Mapa final'!$M$72="Muy Alta",'Mapa final'!$Q$72="Menor"),CONCATENATE("R",'Mapa final'!$A$72),"")</f>
        <v/>
      </c>
      <c r="S12" s="479"/>
      <c r="T12" s="479" t="str">
        <f>IF(AND('Mapa final'!$M$78="Muy Alta",'Mapa final'!$Q$78="Menor"),CONCATENATE("R",'Mapa final'!$A$78),"")</f>
        <v/>
      </c>
      <c r="U12" s="480"/>
      <c r="V12" s="483" t="str">
        <f>IF(AND('Mapa final'!$M$66="Muy Alta",'Mapa final'!$Q$66="Moderado"),CONCATENATE("R",'Mapa final'!$A$66),"")</f>
        <v/>
      </c>
      <c r="W12" s="479"/>
      <c r="X12" s="479" t="str">
        <f>IF(AND('Mapa final'!$M$72="Muy Alta",'Mapa final'!$Q$72="Moderado"),CONCATENATE("R",'Mapa final'!$A$72),"")</f>
        <v/>
      </c>
      <c r="Y12" s="479"/>
      <c r="Z12" s="479" t="str">
        <f>IF(AND('Mapa final'!$M$78="Muy Alta",'Mapa final'!$Q$78="Moderado"),CONCATENATE("R",'Mapa final'!$A$78),"")</f>
        <v/>
      </c>
      <c r="AA12" s="480"/>
      <c r="AB12" s="483" t="str">
        <f>IF(AND('Mapa final'!$M$66="Muy Alta",'Mapa final'!$Q$66="Mayor"),CONCATENATE("R",'Mapa final'!$A$66),"")</f>
        <v/>
      </c>
      <c r="AC12" s="479"/>
      <c r="AD12" s="479" t="str">
        <f>IF(AND('Mapa final'!$M$72="Muy Alta",'Mapa final'!$Q$72="Mayor"),CONCATENATE("R",'Mapa final'!$A$72),"")</f>
        <v/>
      </c>
      <c r="AE12" s="479"/>
      <c r="AF12" s="479" t="str">
        <f>IF(AND('Mapa final'!$M$78="Muy Alta",'Mapa final'!$Q$78="Mayor"),CONCATENATE("R",'Mapa final'!$A$78),"")</f>
        <v/>
      </c>
      <c r="AG12" s="480"/>
      <c r="AH12" s="490" t="str">
        <f>IF(AND('Mapa final'!$M$66="Muy Alta",'Mapa final'!$Q$66="Catastrófico"),CONCATENATE("R",'Mapa final'!$A$66),"")</f>
        <v/>
      </c>
      <c r="AI12" s="491"/>
      <c r="AJ12" s="491" t="str">
        <f>IF(AND('Mapa final'!$M$72="Muy Alta",'Mapa final'!$Q$72="Catastrófico"),CONCATENATE("R",'Mapa final'!$A$72),"")</f>
        <v/>
      </c>
      <c r="AK12" s="491"/>
      <c r="AL12" s="491" t="str">
        <f>IF(AND('Mapa final'!$M$78="Muy Alta",'Mapa final'!$Q$78="Catastrófico"),CONCATENATE("R",'Mapa final'!$A$78),"")</f>
        <v/>
      </c>
      <c r="AM12" s="492"/>
      <c r="AN12" s="69"/>
      <c r="AO12" s="437"/>
      <c r="AP12" s="438"/>
      <c r="AQ12" s="438"/>
      <c r="AR12" s="438"/>
      <c r="AS12" s="438"/>
      <c r="AT12" s="43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row>
    <row r="13" spans="1:99" ht="15.75" customHeight="1" thickBot="1" x14ac:dyDescent="0.3">
      <c r="A13" s="69"/>
      <c r="B13" s="432"/>
      <c r="C13" s="432"/>
      <c r="D13" s="433"/>
      <c r="E13" s="476"/>
      <c r="F13" s="477"/>
      <c r="G13" s="477"/>
      <c r="H13" s="477"/>
      <c r="I13" s="478"/>
      <c r="J13" s="483"/>
      <c r="K13" s="479"/>
      <c r="L13" s="479"/>
      <c r="M13" s="479"/>
      <c r="N13" s="479"/>
      <c r="O13" s="480"/>
      <c r="P13" s="483"/>
      <c r="Q13" s="479"/>
      <c r="R13" s="479"/>
      <c r="S13" s="479"/>
      <c r="T13" s="479"/>
      <c r="U13" s="480"/>
      <c r="V13" s="483"/>
      <c r="W13" s="479"/>
      <c r="X13" s="479"/>
      <c r="Y13" s="479"/>
      <c r="Z13" s="479"/>
      <c r="AA13" s="480"/>
      <c r="AB13" s="483"/>
      <c r="AC13" s="479"/>
      <c r="AD13" s="479"/>
      <c r="AE13" s="479"/>
      <c r="AF13" s="479"/>
      <c r="AG13" s="480"/>
      <c r="AH13" s="493"/>
      <c r="AI13" s="494"/>
      <c r="AJ13" s="494"/>
      <c r="AK13" s="494"/>
      <c r="AL13" s="494"/>
      <c r="AM13" s="495"/>
      <c r="AN13" s="69"/>
      <c r="AO13" s="440"/>
      <c r="AP13" s="441"/>
      <c r="AQ13" s="441"/>
      <c r="AR13" s="441"/>
      <c r="AS13" s="441"/>
      <c r="AT13" s="442"/>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row>
    <row r="14" spans="1:99" ht="15" customHeight="1" x14ac:dyDescent="0.25">
      <c r="A14" s="69"/>
      <c r="B14" s="432"/>
      <c r="C14" s="432"/>
      <c r="D14" s="433"/>
      <c r="E14" s="470" t="s">
        <v>115</v>
      </c>
      <c r="F14" s="471"/>
      <c r="G14" s="471"/>
      <c r="H14" s="471"/>
      <c r="I14" s="471"/>
      <c r="J14" s="505" t="str">
        <f>IF(AND('Mapa final'!$M$12="Alta",'Mapa final'!$Q$12="Leve"),CONCATENATE("R",'Mapa final'!$A$12),"")</f>
        <v/>
      </c>
      <c r="K14" s="506"/>
      <c r="L14" s="506" t="str">
        <f>IF(AND('Mapa final'!$M$18="Alta",'Mapa final'!$Q$18="Leve"),CONCATENATE("R",'Mapa final'!$A$18),"")</f>
        <v/>
      </c>
      <c r="M14" s="506"/>
      <c r="N14" s="506" t="str">
        <f>IF(AND('Mapa final'!$M$24="Alta",'Mapa final'!$Q$24="Leve"),CONCATENATE("R",'Mapa final'!$A$24),"")</f>
        <v/>
      </c>
      <c r="O14" s="507"/>
      <c r="P14" s="505" t="str">
        <f>IF(AND('Mapa final'!$M$12="Alta",'Mapa final'!$Q$12="Menor"),CONCATENATE("R",'Mapa final'!$A$12),"")</f>
        <v/>
      </c>
      <c r="Q14" s="506"/>
      <c r="R14" s="506" t="str">
        <f>IF(AND('Mapa final'!$M$18="Alta",'Mapa final'!$Q$18="Menor"),CONCATENATE("R",'Mapa final'!$A$18),"")</f>
        <v/>
      </c>
      <c r="S14" s="506"/>
      <c r="T14" s="506" t="str">
        <f>IF(AND('Mapa final'!$M$24="Alta",'Mapa final'!$Q$24="Menor"),CONCATENATE("R",'Mapa final'!$A$24),"")</f>
        <v/>
      </c>
      <c r="U14" s="507"/>
      <c r="V14" s="481" t="str">
        <f>IF(AND('Mapa final'!$M$12="Alta",'Mapa final'!$Q$12="Moderado"),CONCATENATE("R",'Mapa final'!$A$12),"")</f>
        <v/>
      </c>
      <c r="W14" s="482"/>
      <c r="X14" s="482" t="str">
        <f>IF(AND('Mapa final'!$M$18="Alta",'Mapa final'!$Q$18="Moderado"),CONCATENATE("R",'Mapa final'!$A$18),"")</f>
        <v/>
      </c>
      <c r="Y14" s="482"/>
      <c r="Z14" s="482" t="str">
        <f>IF(AND('Mapa final'!$M$24="Alta",'Mapa final'!$Q$24="Moderado"),CONCATENATE("R",'Mapa final'!$A$24),"")</f>
        <v/>
      </c>
      <c r="AA14" s="484"/>
      <c r="AB14" s="481" t="str">
        <f>IF(AND('Mapa final'!$M$12="Alta",'Mapa final'!$Q$12="Mayor"),CONCATENATE("R",'Mapa final'!$A$12),"")</f>
        <v/>
      </c>
      <c r="AC14" s="482"/>
      <c r="AD14" s="482" t="str">
        <f>IF(AND('Mapa final'!$M$18="Alta",'Mapa final'!$Q$18="Mayor"),CONCATENATE("R",'Mapa final'!$A$18),"")</f>
        <v/>
      </c>
      <c r="AE14" s="482"/>
      <c r="AF14" s="482" t="str">
        <f>IF(AND('Mapa final'!$M$24="Alta",'Mapa final'!$Q$24="Mayor"),CONCATENATE("R",'Mapa final'!$A$24),"")</f>
        <v/>
      </c>
      <c r="AG14" s="484"/>
      <c r="AH14" s="496" t="str">
        <f>IF(AND('Mapa final'!$M$12="Alta",'Mapa final'!$Q$12="Catastrófico"),CONCATENATE("R",'Mapa final'!$A$12),"")</f>
        <v/>
      </c>
      <c r="AI14" s="497"/>
      <c r="AJ14" s="497" t="str">
        <f>IF(AND('Mapa final'!$M$18="Alta",'Mapa final'!$Q$18="Catastrófico"),CONCATENATE("R",'Mapa final'!$A$18),"")</f>
        <v>R2</v>
      </c>
      <c r="AK14" s="497"/>
      <c r="AL14" s="497" t="str">
        <f>IF(AND('Mapa final'!$M$24="Alta",'Mapa final'!$Q$24="Catastrófico"),CONCATENATE("R",'Mapa final'!$A$24),"")</f>
        <v/>
      </c>
      <c r="AM14" s="498"/>
      <c r="AN14" s="69"/>
      <c r="AO14" s="443" t="s">
        <v>80</v>
      </c>
      <c r="AP14" s="444"/>
      <c r="AQ14" s="444"/>
      <c r="AR14" s="444"/>
      <c r="AS14" s="444"/>
      <c r="AT14" s="445"/>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row>
    <row r="15" spans="1:99" ht="15" customHeight="1" x14ac:dyDescent="0.25">
      <c r="A15" s="69"/>
      <c r="B15" s="432"/>
      <c r="C15" s="432"/>
      <c r="D15" s="433"/>
      <c r="E15" s="473"/>
      <c r="F15" s="474"/>
      <c r="G15" s="474"/>
      <c r="H15" s="474"/>
      <c r="I15" s="474"/>
      <c r="J15" s="499"/>
      <c r="K15" s="500"/>
      <c r="L15" s="500"/>
      <c r="M15" s="500"/>
      <c r="N15" s="500"/>
      <c r="O15" s="501"/>
      <c r="P15" s="499"/>
      <c r="Q15" s="500"/>
      <c r="R15" s="500"/>
      <c r="S15" s="500"/>
      <c r="T15" s="500"/>
      <c r="U15" s="501"/>
      <c r="V15" s="483"/>
      <c r="W15" s="479"/>
      <c r="X15" s="479"/>
      <c r="Y15" s="479"/>
      <c r="Z15" s="479"/>
      <c r="AA15" s="480"/>
      <c r="AB15" s="483"/>
      <c r="AC15" s="479"/>
      <c r="AD15" s="479"/>
      <c r="AE15" s="479"/>
      <c r="AF15" s="479"/>
      <c r="AG15" s="480"/>
      <c r="AH15" s="490"/>
      <c r="AI15" s="491"/>
      <c r="AJ15" s="491"/>
      <c r="AK15" s="491"/>
      <c r="AL15" s="491"/>
      <c r="AM15" s="492"/>
      <c r="AN15" s="69"/>
      <c r="AO15" s="446"/>
      <c r="AP15" s="447"/>
      <c r="AQ15" s="447"/>
      <c r="AR15" s="447"/>
      <c r="AS15" s="447"/>
      <c r="AT15" s="448"/>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row>
    <row r="16" spans="1:99" ht="15" customHeight="1" x14ac:dyDescent="0.25">
      <c r="A16" s="69"/>
      <c r="B16" s="432"/>
      <c r="C16" s="432"/>
      <c r="D16" s="433"/>
      <c r="E16" s="473"/>
      <c r="F16" s="474"/>
      <c r="G16" s="474"/>
      <c r="H16" s="474"/>
      <c r="I16" s="474"/>
      <c r="J16" s="499" t="str">
        <f>IF(AND('Mapa final'!$M$30="Alta",'Mapa final'!$Q$30="Leve"),CONCATENATE("R",'Mapa final'!$A$30),"")</f>
        <v/>
      </c>
      <c r="K16" s="500"/>
      <c r="L16" s="500" t="str">
        <f>IF(AND('Mapa final'!$M$36="Alta",'Mapa final'!$Q$36="Leve"),CONCATENATE("R",'Mapa final'!$A$36),"")</f>
        <v/>
      </c>
      <c r="M16" s="500"/>
      <c r="N16" s="500" t="str">
        <f>IF(AND('Mapa final'!$M$42="Alta",'Mapa final'!$Q$42="Leve"),CONCATENATE("R",'Mapa final'!$A$42),"")</f>
        <v/>
      </c>
      <c r="O16" s="501"/>
      <c r="P16" s="499" t="str">
        <f>IF(AND('Mapa final'!$M$30="Alta",'Mapa final'!$Q$30="Menor"),CONCATENATE("R",'Mapa final'!$A$30),"")</f>
        <v/>
      </c>
      <c r="Q16" s="500"/>
      <c r="R16" s="500" t="str">
        <f>IF(AND('Mapa final'!$M$36="Alta",'Mapa final'!$Q$36="Menor"),CONCATENATE("R",'Mapa final'!$A$36),"")</f>
        <v/>
      </c>
      <c r="S16" s="500"/>
      <c r="T16" s="500" t="str">
        <f>IF(AND('Mapa final'!$M$42="Alta",'Mapa final'!$Q$42="Menor"),CONCATENATE("R",'Mapa final'!$A$42),"")</f>
        <v/>
      </c>
      <c r="U16" s="501"/>
      <c r="V16" s="483" t="str">
        <f>IF(AND('Mapa final'!$M$30="Alta",'Mapa final'!$Q$30="Moderado"),CONCATENATE("R",'Mapa final'!$A$30),"")</f>
        <v/>
      </c>
      <c r="W16" s="479"/>
      <c r="X16" s="479" t="str">
        <f>IF(AND('Mapa final'!$M$36="Alta",'Mapa final'!$Q$36="Moderado"),CONCATENATE("R",'Mapa final'!$A$36),"")</f>
        <v/>
      </c>
      <c r="Y16" s="479"/>
      <c r="Z16" s="479" t="str">
        <f>IF(AND('Mapa final'!$M$42="Alta",'Mapa final'!$Q$42="Moderado"),CONCATENATE("R",'Mapa final'!$A$42),"")</f>
        <v/>
      </c>
      <c r="AA16" s="480"/>
      <c r="AB16" s="483" t="str">
        <f>IF(AND('Mapa final'!$M$30="Alta",'Mapa final'!$Q$30="Mayor"),CONCATENATE("R",'Mapa final'!$A$30),"")</f>
        <v>R4</v>
      </c>
      <c r="AC16" s="479"/>
      <c r="AD16" s="479" t="str">
        <f>IF(AND('Mapa final'!$M$36="Alta",'Mapa final'!$Q$36="Mayor"),CONCATENATE("R",'Mapa final'!$A$36),"")</f>
        <v/>
      </c>
      <c r="AE16" s="479"/>
      <c r="AF16" s="479" t="str">
        <f>IF(AND('Mapa final'!$M$42="Alta",'Mapa final'!$Q$42="Mayor"),CONCATENATE("R",'Mapa final'!$A$42),"")</f>
        <v/>
      </c>
      <c r="AG16" s="480"/>
      <c r="AH16" s="490" t="str">
        <f>IF(AND('Mapa final'!$M$30="Alta",'Mapa final'!$Q$30="Catastrófico"),CONCATENATE("R",'Mapa final'!$A$30),"")</f>
        <v/>
      </c>
      <c r="AI16" s="491"/>
      <c r="AJ16" s="491" t="str">
        <f>IF(AND('Mapa final'!$M$36="Alta",'Mapa final'!$Q$36="Catastrófico"),CONCATENATE("R",'Mapa final'!$A$36),"")</f>
        <v/>
      </c>
      <c r="AK16" s="491"/>
      <c r="AL16" s="491" t="str">
        <f>IF(AND('Mapa final'!$M$42="Alta",'Mapa final'!$Q$42="Catastrófico"),CONCATENATE("R",'Mapa final'!$A$42),"")</f>
        <v/>
      </c>
      <c r="AM16" s="492"/>
      <c r="AN16" s="69"/>
      <c r="AO16" s="446"/>
      <c r="AP16" s="447"/>
      <c r="AQ16" s="447"/>
      <c r="AR16" s="447"/>
      <c r="AS16" s="447"/>
      <c r="AT16" s="448"/>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row>
    <row r="17" spans="1:80" ht="15" customHeight="1" x14ac:dyDescent="0.25">
      <c r="A17" s="69"/>
      <c r="B17" s="432"/>
      <c r="C17" s="432"/>
      <c r="D17" s="433"/>
      <c r="E17" s="473"/>
      <c r="F17" s="474"/>
      <c r="G17" s="474"/>
      <c r="H17" s="474"/>
      <c r="I17" s="474"/>
      <c r="J17" s="499"/>
      <c r="K17" s="500"/>
      <c r="L17" s="500"/>
      <c r="M17" s="500"/>
      <c r="N17" s="500"/>
      <c r="O17" s="501"/>
      <c r="P17" s="499"/>
      <c r="Q17" s="500"/>
      <c r="R17" s="500"/>
      <c r="S17" s="500"/>
      <c r="T17" s="500"/>
      <c r="U17" s="501"/>
      <c r="V17" s="483"/>
      <c r="W17" s="479"/>
      <c r="X17" s="479"/>
      <c r="Y17" s="479"/>
      <c r="Z17" s="479"/>
      <c r="AA17" s="480"/>
      <c r="AB17" s="483"/>
      <c r="AC17" s="479"/>
      <c r="AD17" s="479"/>
      <c r="AE17" s="479"/>
      <c r="AF17" s="479"/>
      <c r="AG17" s="480"/>
      <c r="AH17" s="490"/>
      <c r="AI17" s="491"/>
      <c r="AJ17" s="491"/>
      <c r="AK17" s="491"/>
      <c r="AL17" s="491"/>
      <c r="AM17" s="492"/>
      <c r="AN17" s="69"/>
      <c r="AO17" s="446"/>
      <c r="AP17" s="447"/>
      <c r="AQ17" s="447"/>
      <c r="AR17" s="447"/>
      <c r="AS17" s="447"/>
      <c r="AT17" s="448"/>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row>
    <row r="18" spans="1:80" ht="15" customHeight="1" x14ac:dyDescent="0.25">
      <c r="A18" s="69"/>
      <c r="B18" s="432"/>
      <c r="C18" s="432"/>
      <c r="D18" s="433"/>
      <c r="E18" s="473"/>
      <c r="F18" s="474"/>
      <c r="G18" s="474"/>
      <c r="H18" s="474"/>
      <c r="I18" s="474"/>
      <c r="J18" s="499" t="str">
        <f>IF(AND('Mapa final'!$M$48="Alta",'Mapa final'!$Q$48="Leve"),CONCATENATE("R",'Mapa final'!$A$48),"")</f>
        <v/>
      </c>
      <c r="K18" s="500"/>
      <c r="L18" s="500" t="str">
        <f>IF(AND('Mapa final'!$M$54="Alta",'Mapa final'!$Q$54="Leve"),CONCATENATE("R",'Mapa final'!$A$54),"")</f>
        <v/>
      </c>
      <c r="M18" s="500"/>
      <c r="N18" s="500" t="str">
        <f>IF(AND('Mapa final'!$M$60="Alta",'Mapa final'!$Q$60="Leve"),CONCATENATE("R",'Mapa final'!$A$60),"")</f>
        <v/>
      </c>
      <c r="O18" s="501"/>
      <c r="P18" s="499" t="str">
        <f>IF(AND('Mapa final'!$M$48="Alta",'Mapa final'!$Q$48="Menor"),CONCATENATE("R",'Mapa final'!$A$48),"")</f>
        <v/>
      </c>
      <c r="Q18" s="500"/>
      <c r="R18" s="500" t="str">
        <f>IF(AND('Mapa final'!$M$54="Alta",'Mapa final'!$Q$54="Menor"),CONCATENATE("R",'Mapa final'!$A$54),"")</f>
        <v/>
      </c>
      <c r="S18" s="500"/>
      <c r="T18" s="500" t="str">
        <f>IF(AND('Mapa final'!$M$60="Alta",'Mapa final'!$Q$60="Menor"),CONCATENATE("R",'Mapa final'!$A$60),"")</f>
        <v/>
      </c>
      <c r="U18" s="501"/>
      <c r="V18" s="483" t="str">
        <f>IF(AND('Mapa final'!$M$48="Alta",'Mapa final'!$Q$48="Moderado"),CONCATENATE("R",'Mapa final'!$A$48),"")</f>
        <v/>
      </c>
      <c r="W18" s="479"/>
      <c r="X18" s="479" t="str">
        <f>IF(AND('Mapa final'!$M$54="Alta",'Mapa final'!$Q$54="Moderado"),CONCATENATE("R",'Mapa final'!$A$54),"")</f>
        <v/>
      </c>
      <c r="Y18" s="479"/>
      <c r="Z18" s="479" t="str">
        <f>IF(AND('Mapa final'!$M$60="Alta",'Mapa final'!$Q$60="Moderado"),CONCATENATE("R",'Mapa final'!$A$60),"")</f>
        <v/>
      </c>
      <c r="AA18" s="480"/>
      <c r="AB18" s="483" t="str">
        <f>IF(AND('Mapa final'!$M$48="Alta",'Mapa final'!$Q$48="Mayor"),CONCATENATE("R",'Mapa final'!$A$48),"")</f>
        <v/>
      </c>
      <c r="AC18" s="479"/>
      <c r="AD18" s="479" t="str">
        <f>IF(AND('Mapa final'!$M$54="Alta",'Mapa final'!$Q$54="Mayor"),CONCATENATE("R",'Mapa final'!$A$54),"")</f>
        <v/>
      </c>
      <c r="AE18" s="479"/>
      <c r="AF18" s="479" t="str">
        <f>IF(AND('Mapa final'!$M$60="Alta",'Mapa final'!$Q$60="Mayor"),CONCATENATE("R",'Mapa final'!$A$60),"")</f>
        <v/>
      </c>
      <c r="AG18" s="480"/>
      <c r="AH18" s="490" t="str">
        <f>IF(AND('Mapa final'!$M$48="Alta",'Mapa final'!$Q$48="Catastrófico"),CONCATENATE("R",'Mapa final'!$A$48),"")</f>
        <v/>
      </c>
      <c r="AI18" s="491"/>
      <c r="AJ18" s="491" t="str">
        <f>IF(AND('Mapa final'!$M$54="Alta",'Mapa final'!$Q$54="Catastrófico"),CONCATENATE("R",'Mapa final'!$A$54),"")</f>
        <v/>
      </c>
      <c r="AK18" s="491"/>
      <c r="AL18" s="491" t="str">
        <f>IF(AND('Mapa final'!$M$60="Alta",'Mapa final'!$Q$60="Catastrófico"),CONCATENATE("R",'Mapa final'!$A$60),"")</f>
        <v/>
      </c>
      <c r="AM18" s="492"/>
      <c r="AN18" s="69"/>
      <c r="AO18" s="446"/>
      <c r="AP18" s="447"/>
      <c r="AQ18" s="447"/>
      <c r="AR18" s="447"/>
      <c r="AS18" s="447"/>
      <c r="AT18" s="448"/>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row>
    <row r="19" spans="1:80" ht="15" customHeight="1" x14ac:dyDescent="0.25">
      <c r="A19" s="69"/>
      <c r="B19" s="432"/>
      <c r="C19" s="432"/>
      <c r="D19" s="433"/>
      <c r="E19" s="473"/>
      <c r="F19" s="474"/>
      <c r="G19" s="474"/>
      <c r="H19" s="474"/>
      <c r="I19" s="474"/>
      <c r="J19" s="499"/>
      <c r="K19" s="500"/>
      <c r="L19" s="500"/>
      <c r="M19" s="500"/>
      <c r="N19" s="500"/>
      <c r="O19" s="501"/>
      <c r="P19" s="499"/>
      <c r="Q19" s="500"/>
      <c r="R19" s="500"/>
      <c r="S19" s="500"/>
      <c r="T19" s="500"/>
      <c r="U19" s="501"/>
      <c r="V19" s="483"/>
      <c r="W19" s="479"/>
      <c r="X19" s="479"/>
      <c r="Y19" s="479"/>
      <c r="Z19" s="479"/>
      <c r="AA19" s="480"/>
      <c r="AB19" s="483"/>
      <c r="AC19" s="479"/>
      <c r="AD19" s="479"/>
      <c r="AE19" s="479"/>
      <c r="AF19" s="479"/>
      <c r="AG19" s="480"/>
      <c r="AH19" s="490"/>
      <c r="AI19" s="491"/>
      <c r="AJ19" s="491"/>
      <c r="AK19" s="491"/>
      <c r="AL19" s="491"/>
      <c r="AM19" s="492"/>
      <c r="AN19" s="69"/>
      <c r="AO19" s="446"/>
      <c r="AP19" s="447"/>
      <c r="AQ19" s="447"/>
      <c r="AR19" s="447"/>
      <c r="AS19" s="447"/>
      <c r="AT19" s="448"/>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row>
    <row r="20" spans="1:80" ht="15" customHeight="1" x14ac:dyDescent="0.25">
      <c r="A20" s="69"/>
      <c r="B20" s="432"/>
      <c r="C20" s="432"/>
      <c r="D20" s="433"/>
      <c r="E20" s="473"/>
      <c r="F20" s="474"/>
      <c r="G20" s="474"/>
      <c r="H20" s="474"/>
      <c r="I20" s="474"/>
      <c r="J20" s="499" t="str">
        <f>IF(AND('Mapa final'!$M$66="Alta",'Mapa final'!$Q$66="Leve"),CONCATENATE("R",'Mapa final'!$A$66),"")</f>
        <v/>
      </c>
      <c r="K20" s="500"/>
      <c r="L20" s="500" t="str">
        <f>IF(AND('Mapa final'!$M$72="Alta",'Mapa final'!$Q$72="Leve"),CONCATENATE("R",'Mapa final'!$A$72),"")</f>
        <v/>
      </c>
      <c r="M20" s="500"/>
      <c r="N20" s="500" t="str">
        <f>IF(AND('Mapa final'!$M$78="Alta",'Mapa final'!$Q$78="Leve"),CONCATENATE("R",'Mapa final'!$A$78),"")</f>
        <v/>
      </c>
      <c r="O20" s="501"/>
      <c r="P20" s="499" t="str">
        <f>IF(AND('Mapa final'!$M$66="Alta",'Mapa final'!$Q$66="Menor"),CONCATENATE("R",'Mapa final'!$A$66),"")</f>
        <v/>
      </c>
      <c r="Q20" s="500"/>
      <c r="R20" s="500" t="str">
        <f>IF(AND('Mapa final'!$M$72="Alta",'Mapa final'!$Q$72="Menor"),CONCATENATE("R",'Mapa final'!$A$72),"")</f>
        <v/>
      </c>
      <c r="S20" s="500"/>
      <c r="T20" s="500" t="str">
        <f>IF(AND('Mapa final'!$M$78="Alta",'Mapa final'!$Q$78="Menor"),CONCATENATE("R",'Mapa final'!$A$78),"")</f>
        <v/>
      </c>
      <c r="U20" s="501"/>
      <c r="V20" s="483" t="str">
        <f>IF(AND('Mapa final'!$M$66="Alta",'Mapa final'!$Q$66="Moderado"),CONCATENATE("R",'Mapa final'!$A$66),"")</f>
        <v/>
      </c>
      <c r="W20" s="479"/>
      <c r="X20" s="479" t="str">
        <f>IF(AND('Mapa final'!$M$72="Alta",'Mapa final'!$Q$72="Moderado"),CONCATENATE("R",'Mapa final'!$A$72),"")</f>
        <v/>
      </c>
      <c r="Y20" s="479"/>
      <c r="Z20" s="479" t="str">
        <f>IF(AND('Mapa final'!$M$78="Alta",'Mapa final'!$Q$78="Moderado"),CONCATENATE("R",'Mapa final'!$A$78),"")</f>
        <v/>
      </c>
      <c r="AA20" s="480"/>
      <c r="AB20" s="483" t="str">
        <f>IF(AND('Mapa final'!$M$66="Alta",'Mapa final'!$Q$66="Mayor"),CONCATENATE("R",'Mapa final'!$A$66),"")</f>
        <v/>
      </c>
      <c r="AC20" s="479"/>
      <c r="AD20" s="479" t="str">
        <f>IF(AND('Mapa final'!$M$72="Alta",'Mapa final'!$Q$72="Mayor"),CONCATENATE("R",'Mapa final'!$A$72),"")</f>
        <v/>
      </c>
      <c r="AE20" s="479"/>
      <c r="AF20" s="479" t="str">
        <f>IF(AND('Mapa final'!$M$78="Alta",'Mapa final'!$Q$78="Mayor"),CONCATENATE("R",'Mapa final'!$A$78),"")</f>
        <v/>
      </c>
      <c r="AG20" s="480"/>
      <c r="AH20" s="490" t="str">
        <f>IF(AND('Mapa final'!$M$66="Alta",'Mapa final'!$Q$66="Catastrófico"),CONCATENATE("R",'Mapa final'!$A$66),"")</f>
        <v/>
      </c>
      <c r="AI20" s="491"/>
      <c r="AJ20" s="491" t="str">
        <f>IF(AND('Mapa final'!$M$72="Alta",'Mapa final'!$Q$72="Catastrófico"),CONCATENATE("R",'Mapa final'!$A$72),"")</f>
        <v/>
      </c>
      <c r="AK20" s="491"/>
      <c r="AL20" s="491" t="str">
        <f>IF(AND('Mapa final'!$M$78="Alta",'Mapa final'!$Q$78="Catastrófico"),CONCATENATE("R",'Mapa final'!$A$78),"")</f>
        <v/>
      </c>
      <c r="AM20" s="492"/>
      <c r="AN20" s="69"/>
      <c r="AO20" s="446"/>
      <c r="AP20" s="447"/>
      <c r="AQ20" s="447"/>
      <c r="AR20" s="447"/>
      <c r="AS20" s="447"/>
      <c r="AT20" s="448"/>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row>
    <row r="21" spans="1:80" ht="15.75" customHeight="1" thickBot="1" x14ac:dyDescent="0.3">
      <c r="A21" s="69"/>
      <c r="B21" s="432"/>
      <c r="C21" s="432"/>
      <c r="D21" s="433"/>
      <c r="E21" s="476"/>
      <c r="F21" s="477"/>
      <c r="G21" s="477"/>
      <c r="H21" s="477"/>
      <c r="I21" s="477"/>
      <c r="J21" s="502"/>
      <c r="K21" s="503"/>
      <c r="L21" s="503"/>
      <c r="M21" s="503"/>
      <c r="N21" s="503"/>
      <c r="O21" s="504"/>
      <c r="P21" s="502"/>
      <c r="Q21" s="503"/>
      <c r="R21" s="503"/>
      <c r="S21" s="503"/>
      <c r="T21" s="503"/>
      <c r="U21" s="504"/>
      <c r="V21" s="487"/>
      <c r="W21" s="488"/>
      <c r="X21" s="488"/>
      <c r="Y21" s="488"/>
      <c r="Z21" s="488"/>
      <c r="AA21" s="489"/>
      <c r="AB21" s="487"/>
      <c r="AC21" s="488"/>
      <c r="AD21" s="488"/>
      <c r="AE21" s="488"/>
      <c r="AF21" s="488"/>
      <c r="AG21" s="489"/>
      <c r="AH21" s="493"/>
      <c r="AI21" s="494"/>
      <c r="AJ21" s="494"/>
      <c r="AK21" s="494"/>
      <c r="AL21" s="494"/>
      <c r="AM21" s="495"/>
      <c r="AN21" s="69"/>
      <c r="AO21" s="449"/>
      <c r="AP21" s="450"/>
      <c r="AQ21" s="450"/>
      <c r="AR21" s="450"/>
      <c r="AS21" s="450"/>
      <c r="AT21" s="451"/>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row>
    <row r="22" spans="1:80" x14ac:dyDescent="0.25">
      <c r="A22" s="69"/>
      <c r="B22" s="432"/>
      <c r="C22" s="432"/>
      <c r="D22" s="433"/>
      <c r="E22" s="470" t="s">
        <v>117</v>
      </c>
      <c r="F22" s="471"/>
      <c r="G22" s="471"/>
      <c r="H22" s="471"/>
      <c r="I22" s="472"/>
      <c r="J22" s="505" t="str">
        <f>IF(AND('Mapa final'!$M$12="Media",'Mapa final'!$Q$12="Leve"),CONCATENATE("R",'Mapa final'!$A$12),"")</f>
        <v/>
      </c>
      <c r="K22" s="506"/>
      <c r="L22" s="506" t="str">
        <f>IF(AND('Mapa final'!$M$18="Media",'Mapa final'!$Q$18="Leve"),CONCATENATE("R",'Mapa final'!$A$18),"")</f>
        <v/>
      </c>
      <c r="M22" s="506"/>
      <c r="N22" s="506" t="str">
        <f>IF(AND('Mapa final'!$M$24="Media",'Mapa final'!$Q$24="Leve"),CONCATENATE("R",'Mapa final'!$A$24),"")</f>
        <v/>
      </c>
      <c r="O22" s="507"/>
      <c r="P22" s="505" t="str">
        <f>IF(AND('Mapa final'!$M$12="Media",'Mapa final'!$Q$12="Menor"),CONCATENATE("R",'Mapa final'!$A$12),"")</f>
        <v/>
      </c>
      <c r="Q22" s="506"/>
      <c r="R22" s="506" t="str">
        <f>IF(AND('Mapa final'!$M$18="Media",'Mapa final'!$Q$18="Menor"),CONCATENATE("R",'Mapa final'!$A$18),"")</f>
        <v/>
      </c>
      <c r="S22" s="506"/>
      <c r="T22" s="506" t="str">
        <f>IF(AND('Mapa final'!$M$24="Media",'Mapa final'!$Q$24="Menor"),CONCATENATE("R",'Mapa final'!$A$24),"")</f>
        <v/>
      </c>
      <c r="U22" s="507"/>
      <c r="V22" s="505" t="str">
        <f>IF(AND('Mapa final'!$M$12="Media",'Mapa final'!$Q$12="Moderado"),CONCATENATE("R",'Mapa final'!$A$12),"")</f>
        <v/>
      </c>
      <c r="W22" s="506"/>
      <c r="X22" s="506" t="str">
        <f>IF(AND('Mapa final'!$M$18="Media",'Mapa final'!$Q$18="Moderado"),CONCATENATE("R",'Mapa final'!$A$18),"")</f>
        <v/>
      </c>
      <c r="Y22" s="506"/>
      <c r="Z22" s="506" t="str">
        <f>IF(AND('Mapa final'!$M$24="Media",'Mapa final'!$Q$24="Moderado"),CONCATENATE("R",'Mapa final'!$A$24),"")</f>
        <v/>
      </c>
      <c r="AA22" s="507"/>
      <c r="AB22" s="481" t="str">
        <f>IF(AND('Mapa final'!$M$12="Media",'Mapa final'!$Q$12="Mayor"),CONCATENATE("R",'Mapa final'!$A$12),"")</f>
        <v/>
      </c>
      <c r="AC22" s="482"/>
      <c r="AD22" s="482" t="str">
        <f>IF(AND('Mapa final'!$M$18="Media",'Mapa final'!$Q$18="Mayor"),CONCATENATE("R",'Mapa final'!$A$18),"")</f>
        <v/>
      </c>
      <c r="AE22" s="482"/>
      <c r="AF22" s="482" t="str">
        <f>IF(AND('Mapa final'!$M$24="Media",'Mapa final'!$Q$24="Mayor"),CONCATENATE("R",'Mapa final'!$A$24),"")</f>
        <v/>
      </c>
      <c r="AG22" s="484"/>
      <c r="AH22" s="496" t="str">
        <f>IF(AND('Mapa final'!$M$12="Media",'Mapa final'!$Q$12="Catastrófico"),CONCATENATE("R",'Mapa final'!$A$12),"")</f>
        <v/>
      </c>
      <c r="AI22" s="497"/>
      <c r="AJ22" s="497" t="str">
        <f>IF(AND('Mapa final'!$M$18="Media",'Mapa final'!$Q$18="Catastrófico"),CONCATENATE("R",'Mapa final'!$A$18),"")</f>
        <v/>
      </c>
      <c r="AK22" s="497"/>
      <c r="AL22" s="497" t="str">
        <f>IF(AND('Mapa final'!$M$24="Media",'Mapa final'!$Q$24="Catastrófico"),CONCATENATE("R",'Mapa final'!$A$24),"")</f>
        <v/>
      </c>
      <c r="AM22" s="498"/>
      <c r="AN22" s="69"/>
      <c r="AO22" s="452" t="s">
        <v>81</v>
      </c>
      <c r="AP22" s="453"/>
      <c r="AQ22" s="453"/>
      <c r="AR22" s="453"/>
      <c r="AS22" s="453"/>
      <c r="AT22" s="454"/>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row>
    <row r="23" spans="1:80" x14ac:dyDescent="0.25">
      <c r="A23" s="69"/>
      <c r="B23" s="432"/>
      <c r="C23" s="432"/>
      <c r="D23" s="433"/>
      <c r="E23" s="473"/>
      <c r="F23" s="474"/>
      <c r="G23" s="474"/>
      <c r="H23" s="474"/>
      <c r="I23" s="475"/>
      <c r="J23" s="499"/>
      <c r="K23" s="500"/>
      <c r="L23" s="500"/>
      <c r="M23" s="500"/>
      <c r="N23" s="500"/>
      <c r="O23" s="501"/>
      <c r="P23" s="499"/>
      <c r="Q23" s="500"/>
      <c r="R23" s="500"/>
      <c r="S23" s="500"/>
      <c r="T23" s="500"/>
      <c r="U23" s="501"/>
      <c r="V23" s="499"/>
      <c r="W23" s="500"/>
      <c r="X23" s="500"/>
      <c r="Y23" s="500"/>
      <c r="Z23" s="500"/>
      <c r="AA23" s="501"/>
      <c r="AB23" s="483"/>
      <c r="AC23" s="479"/>
      <c r="AD23" s="479"/>
      <c r="AE23" s="479"/>
      <c r="AF23" s="479"/>
      <c r="AG23" s="480"/>
      <c r="AH23" s="490"/>
      <c r="AI23" s="491"/>
      <c r="AJ23" s="491"/>
      <c r="AK23" s="491"/>
      <c r="AL23" s="491"/>
      <c r="AM23" s="492"/>
      <c r="AN23" s="69"/>
      <c r="AO23" s="455"/>
      <c r="AP23" s="456"/>
      <c r="AQ23" s="456"/>
      <c r="AR23" s="456"/>
      <c r="AS23" s="456"/>
      <c r="AT23" s="457"/>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row>
    <row r="24" spans="1:80" x14ac:dyDescent="0.25">
      <c r="A24" s="69"/>
      <c r="B24" s="432"/>
      <c r="C24" s="432"/>
      <c r="D24" s="433"/>
      <c r="E24" s="473"/>
      <c r="F24" s="474"/>
      <c r="G24" s="474"/>
      <c r="H24" s="474"/>
      <c r="I24" s="475"/>
      <c r="J24" s="499" t="str">
        <f>IF(AND('Mapa final'!$M$30="Media",'Mapa final'!$Q$30="Leve"),CONCATENATE("R",'Mapa final'!$A$30),"")</f>
        <v/>
      </c>
      <c r="K24" s="500"/>
      <c r="L24" s="500" t="str">
        <f>IF(AND('Mapa final'!$M$36="Media",'Mapa final'!$Q$36="Leve"),CONCATENATE("R",'Mapa final'!$A$36),"")</f>
        <v/>
      </c>
      <c r="M24" s="500"/>
      <c r="N24" s="500" t="str">
        <f>IF(AND('Mapa final'!$M$42="Media",'Mapa final'!$Q$42="Leve"),CONCATENATE("R",'Mapa final'!$A$42),"")</f>
        <v/>
      </c>
      <c r="O24" s="501"/>
      <c r="P24" s="499" t="str">
        <f>IF(AND('Mapa final'!$M$30="Media",'Mapa final'!$Q$30="Menor"),CONCATENATE("R",'Mapa final'!$A$30),"")</f>
        <v/>
      </c>
      <c r="Q24" s="500"/>
      <c r="R24" s="500" t="str">
        <f>IF(AND('Mapa final'!$M$36="Media",'Mapa final'!$Q$36="Menor"),CONCATENATE("R",'Mapa final'!$A$36),"")</f>
        <v/>
      </c>
      <c r="S24" s="500"/>
      <c r="T24" s="500" t="str">
        <f>IF(AND('Mapa final'!$M$42="Media",'Mapa final'!$Q$42="Menor"),CONCATENATE("R",'Mapa final'!$A$42),"")</f>
        <v/>
      </c>
      <c r="U24" s="501"/>
      <c r="V24" s="499" t="str">
        <f>IF(AND('Mapa final'!$M$30="Media",'Mapa final'!$Q$30="Moderado"),CONCATENATE("R",'Mapa final'!$A$30),"")</f>
        <v/>
      </c>
      <c r="W24" s="500"/>
      <c r="X24" s="500" t="str">
        <f>IF(AND('Mapa final'!$M$36="Media",'Mapa final'!$Q$36="Moderado"),CONCATENATE("R",'Mapa final'!$A$36),"")</f>
        <v/>
      </c>
      <c r="Y24" s="500"/>
      <c r="Z24" s="500" t="str">
        <f>IF(AND('Mapa final'!$M$42="Media",'Mapa final'!$Q$42="Moderado"),CONCATENATE("R",'Mapa final'!$A$42),"")</f>
        <v/>
      </c>
      <c r="AA24" s="501"/>
      <c r="AB24" s="483" t="str">
        <f>IF(AND('Mapa final'!$M$30="Media",'Mapa final'!$Q$30="Mayor"),CONCATENATE("R",'Mapa final'!$A$30),"")</f>
        <v/>
      </c>
      <c r="AC24" s="479"/>
      <c r="AD24" s="479" t="str">
        <f>IF(AND('Mapa final'!$M$36="Media",'Mapa final'!$Q$36="Mayor"),CONCATENATE("R",'Mapa final'!$A$36),"")</f>
        <v/>
      </c>
      <c r="AE24" s="479"/>
      <c r="AF24" s="479" t="str">
        <f>IF(AND('Mapa final'!$M$42="Media",'Mapa final'!$Q$42="Mayor"),CONCATENATE("R",'Mapa final'!$A$42),"")</f>
        <v>R6</v>
      </c>
      <c r="AG24" s="480"/>
      <c r="AH24" s="490" t="str">
        <f>IF(AND('Mapa final'!$M$30="Media",'Mapa final'!$Q$30="Catastrófico"),CONCATENATE("R",'Mapa final'!$A$30),"")</f>
        <v/>
      </c>
      <c r="AI24" s="491"/>
      <c r="AJ24" s="491" t="str">
        <f>IF(AND('Mapa final'!$M$36="Media",'Mapa final'!$Q$36="Catastrófico"),CONCATENATE("R",'Mapa final'!$A$36),"")</f>
        <v/>
      </c>
      <c r="AK24" s="491"/>
      <c r="AL24" s="491" t="str">
        <f>IF(AND('Mapa final'!$M$42="Media",'Mapa final'!$Q$42="Catastrófico"),CONCATENATE("R",'Mapa final'!$A$42),"")</f>
        <v/>
      </c>
      <c r="AM24" s="492"/>
      <c r="AN24" s="69"/>
      <c r="AO24" s="455"/>
      <c r="AP24" s="456"/>
      <c r="AQ24" s="456"/>
      <c r="AR24" s="456"/>
      <c r="AS24" s="456"/>
      <c r="AT24" s="457"/>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row>
    <row r="25" spans="1:80" x14ac:dyDescent="0.25">
      <c r="A25" s="69"/>
      <c r="B25" s="432"/>
      <c r="C25" s="432"/>
      <c r="D25" s="433"/>
      <c r="E25" s="473"/>
      <c r="F25" s="474"/>
      <c r="G25" s="474"/>
      <c r="H25" s="474"/>
      <c r="I25" s="475"/>
      <c r="J25" s="499"/>
      <c r="K25" s="500"/>
      <c r="L25" s="500"/>
      <c r="M25" s="500"/>
      <c r="N25" s="500"/>
      <c r="O25" s="501"/>
      <c r="P25" s="499"/>
      <c r="Q25" s="500"/>
      <c r="R25" s="500"/>
      <c r="S25" s="500"/>
      <c r="T25" s="500"/>
      <c r="U25" s="501"/>
      <c r="V25" s="499"/>
      <c r="W25" s="500"/>
      <c r="X25" s="500"/>
      <c r="Y25" s="500"/>
      <c r="Z25" s="500"/>
      <c r="AA25" s="501"/>
      <c r="AB25" s="483"/>
      <c r="AC25" s="479"/>
      <c r="AD25" s="479"/>
      <c r="AE25" s="479"/>
      <c r="AF25" s="479"/>
      <c r="AG25" s="480"/>
      <c r="AH25" s="490"/>
      <c r="AI25" s="491"/>
      <c r="AJ25" s="491"/>
      <c r="AK25" s="491"/>
      <c r="AL25" s="491"/>
      <c r="AM25" s="492"/>
      <c r="AN25" s="69"/>
      <c r="AO25" s="455"/>
      <c r="AP25" s="456"/>
      <c r="AQ25" s="456"/>
      <c r="AR25" s="456"/>
      <c r="AS25" s="456"/>
      <c r="AT25" s="457"/>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row>
    <row r="26" spans="1:80" x14ac:dyDescent="0.25">
      <c r="A26" s="69"/>
      <c r="B26" s="432"/>
      <c r="C26" s="432"/>
      <c r="D26" s="433"/>
      <c r="E26" s="473"/>
      <c r="F26" s="474"/>
      <c r="G26" s="474"/>
      <c r="H26" s="474"/>
      <c r="I26" s="475"/>
      <c r="J26" s="499" t="str">
        <f>IF(AND('Mapa final'!$M$48="Media",'Mapa final'!$Q$48="Leve"),CONCATENATE("R",'Mapa final'!$A$48),"")</f>
        <v/>
      </c>
      <c r="K26" s="500"/>
      <c r="L26" s="500" t="str">
        <f>IF(AND('Mapa final'!$M$54="Media",'Mapa final'!$Q$54="Leve"),CONCATENATE("R",'Mapa final'!$A$54),"")</f>
        <v/>
      </c>
      <c r="M26" s="500"/>
      <c r="N26" s="500" t="str">
        <f>IF(AND('Mapa final'!$M$60="Media",'Mapa final'!$Q$60="Leve"),CONCATENATE("R",'Mapa final'!$A$60),"")</f>
        <v/>
      </c>
      <c r="O26" s="501"/>
      <c r="P26" s="499" t="str">
        <f>IF(AND('Mapa final'!$M$48="Media",'Mapa final'!$Q$48="Menor"),CONCATENATE("R",'Mapa final'!$A$48),"")</f>
        <v/>
      </c>
      <c r="Q26" s="500"/>
      <c r="R26" s="500" t="str">
        <f>IF(AND('Mapa final'!$M$54="Media",'Mapa final'!$Q$54="Menor"),CONCATENATE("R",'Mapa final'!$A$54),"")</f>
        <v/>
      </c>
      <c r="S26" s="500"/>
      <c r="T26" s="500" t="str">
        <f>IF(AND('Mapa final'!$M$60="Media",'Mapa final'!$Q$60="Menor"),CONCATENATE("R",'Mapa final'!$A$60),"")</f>
        <v/>
      </c>
      <c r="U26" s="501"/>
      <c r="V26" s="499" t="str">
        <f>IF(AND('Mapa final'!$M$48="Media",'Mapa final'!$Q$48="Moderado"),CONCATENATE("R",'Mapa final'!$A$48),"")</f>
        <v/>
      </c>
      <c r="W26" s="500"/>
      <c r="X26" s="500" t="str">
        <f>IF(AND('Mapa final'!$M$54="Media",'Mapa final'!$Q$54="Moderado"),CONCATENATE("R",'Mapa final'!$A$54),"")</f>
        <v>R8</v>
      </c>
      <c r="Y26" s="500"/>
      <c r="Z26" s="500" t="str">
        <f>IF(AND('Mapa final'!$M$60="Media",'Mapa final'!$Q$60="Moderado"),CONCATENATE("R",'Mapa final'!$A$60),"")</f>
        <v/>
      </c>
      <c r="AA26" s="501"/>
      <c r="AB26" s="483" t="str">
        <f>IF(AND('Mapa final'!$M$48="Media",'Mapa final'!$Q$48="Mayor"),CONCATENATE("R",'Mapa final'!$A$48),"")</f>
        <v/>
      </c>
      <c r="AC26" s="479"/>
      <c r="AD26" s="479" t="str">
        <f>IF(AND('Mapa final'!$M$54="Media",'Mapa final'!$Q$54="Mayor"),CONCATENATE("R",'Mapa final'!$A$54),"")</f>
        <v/>
      </c>
      <c r="AE26" s="479"/>
      <c r="AF26" s="479" t="str">
        <f>IF(AND('Mapa final'!$M$60="Media",'Mapa final'!$Q$60="Mayor"),CONCATENATE("R",'Mapa final'!$A$60),"")</f>
        <v/>
      </c>
      <c r="AG26" s="480"/>
      <c r="AH26" s="490" t="str">
        <f>IF(AND('Mapa final'!$M$48="Media",'Mapa final'!$Q$48="Catastrófico"),CONCATENATE("R",'Mapa final'!$A$48),"")</f>
        <v>R7</v>
      </c>
      <c r="AI26" s="491"/>
      <c r="AJ26" s="491" t="str">
        <f>IF(AND('Mapa final'!$M$54="Media",'Mapa final'!$Q$54="Catastrófico"),CONCATENATE("R",'Mapa final'!$A$54),"")</f>
        <v/>
      </c>
      <c r="AK26" s="491"/>
      <c r="AL26" s="491" t="str">
        <f>IF(AND('Mapa final'!$M$60="Media",'Mapa final'!$Q$60="Catastrófico"),CONCATENATE("R",'Mapa final'!$A$60),"")</f>
        <v/>
      </c>
      <c r="AM26" s="492"/>
      <c r="AN26" s="69"/>
      <c r="AO26" s="455"/>
      <c r="AP26" s="456"/>
      <c r="AQ26" s="456"/>
      <c r="AR26" s="456"/>
      <c r="AS26" s="456"/>
      <c r="AT26" s="457"/>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row>
    <row r="27" spans="1:80" x14ac:dyDescent="0.25">
      <c r="A27" s="69"/>
      <c r="B27" s="432"/>
      <c r="C27" s="432"/>
      <c r="D27" s="433"/>
      <c r="E27" s="473"/>
      <c r="F27" s="474"/>
      <c r="G27" s="474"/>
      <c r="H27" s="474"/>
      <c r="I27" s="475"/>
      <c r="J27" s="499"/>
      <c r="K27" s="500"/>
      <c r="L27" s="500"/>
      <c r="M27" s="500"/>
      <c r="N27" s="500"/>
      <c r="O27" s="501"/>
      <c r="P27" s="499"/>
      <c r="Q27" s="500"/>
      <c r="R27" s="500"/>
      <c r="S27" s="500"/>
      <c r="T27" s="500"/>
      <c r="U27" s="501"/>
      <c r="V27" s="499"/>
      <c r="W27" s="500"/>
      <c r="X27" s="500"/>
      <c r="Y27" s="500"/>
      <c r="Z27" s="500"/>
      <c r="AA27" s="501"/>
      <c r="AB27" s="483"/>
      <c r="AC27" s="479"/>
      <c r="AD27" s="479"/>
      <c r="AE27" s="479"/>
      <c r="AF27" s="479"/>
      <c r="AG27" s="480"/>
      <c r="AH27" s="490"/>
      <c r="AI27" s="491"/>
      <c r="AJ27" s="491"/>
      <c r="AK27" s="491"/>
      <c r="AL27" s="491"/>
      <c r="AM27" s="492"/>
      <c r="AN27" s="69"/>
      <c r="AO27" s="455"/>
      <c r="AP27" s="456"/>
      <c r="AQ27" s="456"/>
      <c r="AR27" s="456"/>
      <c r="AS27" s="456"/>
      <c r="AT27" s="457"/>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row>
    <row r="28" spans="1:80" x14ac:dyDescent="0.25">
      <c r="A28" s="69"/>
      <c r="B28" s="432"/>
      <c r="C28" s="432"/>
      <c r="D28" s="433"/>
      <c r="E28" s="473"/>
      <c r="F28" s="474"/>
      <c r="G28" s="474"/>
      <c r="H28" s="474"/>
      <c r="I28" s="475"/>
      <c r="J28" s="499" t="str">
        <f>IF(AND('Mapa final'!$M$66="Media",'Mapa final'!$Q$66="Leve"),CONCATENATE("R",'Mapa final'!$A$66),"")</f>
        <v/>
      </c>
      <c r="K28" s="500"/>
      <c r="L28" s="500" t="str">
        <f>IF(AND('Mapa final'!$M$72="Media",'Mapa final'!$Q$72="Leve"),CONCATENATE("R",'Mapa final'!$A$72),"")</f>
        <v/>
      </c>
      <c r="M28" s="500"/>
      <c r="N28" s="500" t="str">
        <f>IF(AND('Mapa final'!$M$78="Media",'Mapa final'!$Q$78="Leve"),CONCATENATE("R",'Mapa final'!$A$78),"")</f>
        <v/>
      </c>
      <c r="O28" s="501"/>
      <c r="P28" s="499" t="str">
        <f>IF(AND('Mapa final'!$M$66="Media",'Mapa final'!$Q$66="Menor"),CONCATENATE("R",'Mapa final'!$A$66),"")</f>
        <v/>
      </c>
      <c r="Q28" s="500"/>
      <c r="R28" s="500" t="str">
        <f>IF(AND('Mapa final'!$M$72="Media",'Mapa final'!$Q$72="Menor"),CONCATENATE("R",'Mapa final'!$A$72),"")</f>
        <v/>
      </c>
      <c r="S28" s="500"/>
      <c r="T28" s="500" t="str">
        <f>IF(AND('Mapa final'!$M$78="Media",'Mapa final'!$Q$78="Menor"),CONCATENATE("R",'Mapa final'!$A$78),"")</f>
        <v/>
      </c>
      <c r="U28" s="501"/>
      <c r="V28" s="499" t="str">
        <f>IF(AND('Mapa final'!$M$66="Media",'Mapa final'!$Q$66="Moderado"),CONCATENATE("R",'Mapa final'!$A$66),"")</f>
        <v/>
      </c>
      <c r="W28" s="500"/>
      <c r="X28" s="500" t="str">
        <f>IF(AND('Mapa final'!$M$72="Media",'Mapa final'!$Q$72="Moderado"),CONCATENATE("R",'Mapa final'!$A$72),"")</f>
        <v/>
      </c>
      <c r="Y28" s="500"/>
      <c r="Z28" s="500" t="str">
        <f>IF(AND('Mapa final'!$M$78="Media",'Mapa final'!$Q$78="Moderado"),CONCATENATE("R",'Mapa final'!$A$78),"")</f>
        <v/>
      </c>
      <c r="AA28" s="501"/>
      <c r="AB28" s="483" t="str">
        <f>IF(AND('Mapa final'!$M$66="Media",'Mapa final'!$Q$66="Mayor"),CONCATENATE("R",'Mapa final'!$A$66),"")</f>
        <v/>
      </c>
      <c r="AC28" s="479"/>
      <c r="AD28" s="479" t="str">
        <f>IF(AND('Mapa final'!$M$72="Media",'Mapa final'!$Q$72="Mayor"),CONCATENATE("R",'Mapa final'!$A$72),"")</f>
        <v/>
      </c>
      <c r="AE28" s="479"/>
      <c r="AF28" s="479" t="str">
        <f>IF(AND('Mapa final'!$M$78="Media",'Mapa final'!$Q$78="Mayor"),CONCATENATE("R",'Mapa final'!$A$78),"")</f>
        <v/>
      </c>
      <c r="AG28" s="480"/>
      <c r="AH28" s="490" t="str">
        <f>IF(AND('Mapa final'!$M$66="Media",'Mapa final'!$Q$66="Catastrófico"),CONCATENATE("R",'Mapa final'!$A$66),"")</f>
        <v/>
      </c>
      <c r="AI28" s="491"/>
      <c r="AJ28" s="491" t="str">
        <f>IF(AND('Mapa final'!$M$72="Media",'Mapa final'!$Q$72="Catastrófico"),CONCATENATE("R",'Mapa final'!$A$72),"")</f>
        <v/>
      </c>
      <c r="AK28" s="491"/>
      <c r="AL28" s="491" t="str">
        <f>IF(AND('Mapa final'!$M$78="Media",'Mapa final'!$Q$78="Catastrófico"),CONCATENATE("R",'Mapa final'!$A$78),"")</f>
        <v/>
      </c>
      <c r="AM28" s="492"/>
      <c r="AN28" s="69"/>
      <c r="AO28" s="455"/>
      <c r="AP28" s="456"/>
      <c r="AQ28" s="456"/>
      <c r="AR28" s="456"/>
      <c r="AS28" s="456"/>
      <c r="AT28" s="457"/>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row>
    <row r="29" spans="1:80" ht="15.75" thickBot="1" x14ac:dyDescent="0.3">
      <c r="A29" s="69"/>
      <c r="B29" s="432"/>
      <c r="C29" s="432"/>
      <c r="D29" s="433"/>
      <c r="E29" s="476"/>
      <c r="F29" s="477"/>
      <c r="G29" s="477"/>
      <c r="H29" s="477"/>
      <c r="I29" s="478"/>
      <c r="J29" s="499"/>
      <c r="K29" s="500"/>
      <c r="L29" s="500"/>
      <c r="M29" s="500"/>
      <c r="N29" s="500"/>
      <c r="O29" s="501"/>
      <c r="P29" s="502"/>
      <c r="Q29" s="503"/>
      <c r="R29" s="503"/>
      <c r="S29" s="503"/>
      <c r="T29" s="503"/>
      <c r="U29" s="504"/>
      <c r="V29" s="502"/>
      <c r="W29" s="503"/>
      <c r="X29" s="503"/>
      <c r="Y29" s="503"/>
      <c r="Z29" s="503"/>
      <c r="AA29" s="504"/>
      <c r="AB29" s="487"/>
      <c r="AC29" s="488"/>
      <c r="AD29" s="488"/>
      <c r="AE29" s="488"/>
      <c r="AF29" s="488"/>
      <c r="AG29" s="489"/>
      <c r="AH29" s="493"/>
      <c r="AI29" s="494"/>
      <c r="AJ29" s="494"/>
      <c r="AK29" s="494"/>
      <c r="AL29" s="494"/>
      <c r="AM29" s="495"/>
      <c r="AN29" s="69"/>
      <c r="AO29" s="458"/>
      <c r="AP29" s="459"/>
      <c r="AQ29" s="459"/>
      <c r="AR29" s="459"/>
      <c r="AS29" s="459"/>
      <c r="AT29" s="460"/>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row>
    <row r="30" spans="1:80" x14ac:dyDescent="0.25">
      <c r="A30" s="69"/>
      <c r="B30" s="432"/>
      <c r="C30" s="432"/>
      <c r="D30" s="433"/>
      <c r="E30" s="470" t="s">
        <v>114</v>
      </c>
      <c r="F30" s="471"/>
      <c r="G30" s="471"/>
      <c r="H30" s="471"/>
      <c r="I30" s="471"/>
      <c r="J30" s="514" t="str">
        <f>IF(AND('Mapa final'!$M$12="Baja",'Mapa final'!$Q$12="Leve"),CONCATENATE("R",'Mapa final'!$A$12),"")</f>
        <v/>
      </c>
      <c r="K30" s="515"/>
      <c r="L30" s="515" t="str">
        <f>IF(AND('Mapa final'!$M$18="Baja",'Mapa final'!$Q$18="Leve"),CONCATENATE("R",'Mapa final'!$A$18),"")</f>
        <v/>
      </c>
      <c r="M30" s="515"/>
      <c r="N30" s="515" t="str">
        <f>IF(AND('Mapa final'!$M$24="Baja",'Mapa final'!$Q$24="Leve"),CONCATENATE("R",'Mapa final'!$A$24),"")</f>
        <v/>
      </c>
      <c r="O30" s="516"/>
      <c r="P30" s="506" t="str">
        <f>IF(AND('Mapa final'!$M$12="Baja",'Mapa final'!$Q$12="Menor"),CONCATENATE("R",'Mapa final'!$A$12),"")</f>
        <v/>
      </c>
      <c r="Q30" s="506"/>
      <c r="R30" s="506" t="str">
        <f>IF(AND('Mapa final'!$M$18="Baja",'Mapa final'!$Q$18="Menor"),CONCATENATE("R",'Mapa final'!$A$18),"")</f>
        <v/>
      </c>
      <c r="S30" s="506"/>
      <c r="T30" s="506" t="str">
        <f>IF(AND('Mapa final'!$M$24="Baja",'Mapa final'!$Q$24="Menor"),CONCATENATE("R",'Mapa final'!$A$24),"")</f>
        <v/>
      </c>
      <c r="U30" s="507"/>
      <c r="V30" s="505" t="str">
        <f>IF(AND('Mapa final'!$M$12="Baja",'Mapa final'!$Q$12="Moderado"),CONCATENATE("R",'Mapa final'!$A$12),"")</f>
        <v/>
      </c>
      <c r="W30" s="506"/>
      <c r="X30" s="506" t="str">
        <f>IF(AND('Mapa final'!$M$18="Baja",'Mapa final'!$Q$18="Moderado"),CONCATENATE("R",'Mapa final'!$A$18),"")</f>
        <v/>
      </c>
      <c r="Y30" s="506"/>
      <c r="Z30" s="506" t="str">
        <f>IF(AND('Mapa final'!$M$24="Baja",'Mapa final'!$Q$24="Moderado"),CONCATENATE("R",'Mapa final'!$A$24),"")</f>
        <v/>
      </c>
      <c r="AA30" s="507"/>
      <c r="AB30" s="481" t="str">
        <f>IF(AND('Mapa final'!$M$12="Baja",'Mapa final'!$Q$12="Mayor"),CONCATENATE("R",'Mapa final'!$A$12),"")</f>
        <v/>
      </c>
      <c r="AC30" s="482"/>
      <c r="AD30" s="482" t="str">
        <f>IF(AND('Mapa final'!$M$18="Baja",'Mapa final'!$Q$18="Mayor"),CONCATENATE("R",'Mapa final'!$A$18),"")</f>
        <v/>
      </c>
      <c r="AE30" s="482"/>
      <c r="AF30" s="482" t="str">
        <f>IF(AND('Mapa final'!$M$24="Baja",'Mapa final'!$Q$24="Mayor"),CONCATENATE("R",'Mapa final'!$A$24),"")</f>
        <v/>
      </c>
      <c r="AG30" s="484"/>
      <c r="AH30" s="496" t="str">
        <f>IF(AND('Mapa final'!$M$12="Baja",'Mapa final'!$Q$12="Catastrófico"),CONCATENATE("R",'Mapa final'!$A$12),"")</f>
        <v/>
      </c>
      <c r="AI30" s="497"/>
      <c r="AJ30" s="497" t="str">
        <f>IF(AND('Mapa final'!$M$18="Baja",'Mapa final'!$Q$18="Catastrófico"),CONCATENATE("R",'Mapa final'!$A$18),"")</f>
        <v/>
      </c>
      <c r="AK30" s="497"/>
      <c r="AL30" s="497" t="str">
        <f>IF(AND('Mapa final'!$M$24="Baja",'Mapa final'!$Q$24="Catastrófico"),CONCATENATE("R",'Mapa final'!$A$24),"")</f>
        <v/>
      </c>
      <c r="AM30" s="498"/>
      <c r="AN30" s="69"/>
      <c r="AO30" s="461" t="s">
        <v>82</v>
      </c>
      <c r="AP30" s="462"/>
      <c r="AQ30" s="462"/>
      <c r="AR30" s="462"/>
      <c r="AS30" s="462"/>
      <c r="AT30" s="463"/>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row>
    <row r="31" spans="1:80" x14ac:dyDescent="0.25">
      <c r="A31" s="69"/>
      <c r="B31" s="432"/>
      <c r="C31" s="432"/>
      <c r="D31" s="433"/>
      <c r="E31" s="473"/>
      <c r="F31" s="474"/>
      <c r="G31" s="474"/>
      <c r="H31" s="474"/>
      <c r="I31" s="474"/>
      <c r="J31" s="510"/>
      <c r="K31" s="508"/>
      <c r="L31" s="508"/>
      <c r="M31" s="508"/>
      <c r="N31" s="508"/>
      <c r="O31" s="509"/>
      <c r="P31" s="500"/>
      <c r="Q31" s="500"/>
      <c r="R31" s="500"/>
      <c r="S31" s="500"/>
      <c r="T31" s="500"/>
      <c r="U31" s="501"/>
      <c r="V31" s="499"/>
      <c r="W31" s="500"/>
      <c r="X31" s="500"/>
      <c r="Y31" s="500"/>
      <c r="Z31" s="500"/>
      <c r="AA31" s="501"/>
      <c r="AB31" s="483"/>
      <c r="AC31" s="479"/>
      <c r="AD31" s="479"/>
      <c r="AE31" s="479"/>
      <c r="AF31" s="479"/>
      <c r="AG31" s="480"/>
      <c r="AH31" s="490"/>
      <c r="AI31" s="491"/>
      <c r="AJ31" s="491"/>
      <c r="AK31" s="491"/>
      <c r="AL31" s="491"/>
      <c r="AM31" s="492"/>
      <c r="AN31" s="69"/>
      <c r="AO31" s="464"/>
      <c r="AP31" s="465"/>
      <c r="AQ31" s="465"/>
      <c r="AR31" s="465"/>
      <c r="AS31" s="465"/>
      <c r="AT31" s="466"/>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row>
    <row r="32" spans="1:80" x14ac:dyDescent="0.25">
      <c r="A32" s="69"/>
      <c r="B32" s="432"/>
      <c r="C32" s="432"/>
      <c r="D32" s="433"/>
      <c r="E32" s="473"/>
      <c r="F32" s="474"/>
      <c r="G32" s="474"/>
      <c r="H32" s="474"/>
      <c r="I32" s="474"/>
      <c r="J32" s="510" t="str">
        <f>IF(AND('Mapa final'!$M$30="Baja",'Mapa final'!$Q$30="Leve"),CONCATENATE("R",'Mapa final'!$A$30),"")</f>
        <v/>
      </c>
      <c r="K32" s="508"/>
      <c r="L32" s="508" t="str">
        <f>IF(AND('Mapa final'!$M$36="Baja",'Mapa final'!$Q$36="Leve"),CONCATENATE("R",'Mapa final'!$A$36),"")</f>
        <v/>
      </c>
      <c r="M32" s="508"/>
      <c r="N32" s="508" t="str">
        <f>IF(AND('Mapa final'!$M$42="Baja",'Mapa final'!$Q$42="Leve"),CONCATENATE("R",'Mapa final'!$A$42),"")</f>
        <v/>
      </c>
      <c r="O32" s="509"/>
      <c r="P32" s="500" t="str">
        <f>IF(AND('Mapa final'!$M$30="Baja",'Mapa final'!$Q$30="Menor"),CONCATENATE("R",'Mapa final'!$A$30),"")</f>
        <v/>
      </c>
      <c r="Q32" s="500"/>
      <c r="R32" s="500" t="str">
        <f>IF(AND('Mapa final'!$M$36="Baja",'Mapa final'!$Q$36="Menor"),CONCATENATE("R",'Mapa final'!$A$36),"")</f>
        <v/>
      </c>
      <c r="S32" s="500"/>
      <c r="T32" s="500" t="str">
        <f>IF(AND('Mapa final'!$M$42="Baja",'Mapa final'!$Q$42="Menor"),CONCATENATE("R",'Mapa final'!$A$42),"")</f>
        <v/>
      </c>
      <c r="U32" s="501"/>
      <c r="V32" s="499" t="str">
        <f>IF(AND('Mapa final'!$M$30="Baja",'Mapa final'!$Q$30="Moderado"),CONCATENATE("R",'Mapa final'!$A$30),"")</f>
        <v/>
      </c>
      <c r="W32" s="500"/>
      <c r="X32" s="500" t="str">
        <f>IF(AND('Mapa final'!$M$36="Baja",'Mapa final'!$Q$36="Moderado"),CONCATENATE("R",'Mapa final'!$A$36),"")</f>
        <v/>
      </c>
      <c r="Y32" s="500"/>
      <c r="Z32" s="500" t="str">
        <f>IF(AND('Mapa final'!$M$42="Baja",'Mapa final'!$Q$42="Moderado"),CONCATENATE("R",'Mapa final'!$A$42),"")</f>
        <v/>
      </c>
      <c r="AA32" s="501"/>
      <c r="AB32" s="483" t="str">
        <f>IF(AND('Mapa final'!$M$30="Baja",'Mapa final'!$Q$30="Mayor"),CONCATENATE("R",'Mapa final'!$A$30),"")</f>
        <v/>
      </c>
      <c r="AC32" s="479"/>
      <c r="AD32" s="479" t="str">
        <f>IF(AND('Mapa final'!$M$36="Baja",'Mapa final'!$Q$36="Mayor"),CONCATENATE("R",'Mapa final'!$A$36),"")</f>
        <v/>
      </c>
      <c r="AE32" s="479"/>
      <c r="AF32" s="479" t="str">
        <f>IF(AND('Mapa final'!$M$42="Baja",'Mapa final'!$Q$42="Mayor"),CONCATENATE("R",'Mapa final'!$A$42),"")</f>
        <v/>
      </c>
      <c r="AG32" s="480"/>
      <c r="AH32" s="490" t="str">
        <f>IF(AND('Mapa final'!$M$30="Baja",'Mapa final'!$Q$30="Catastrófico"),CONCATENATE("R",'Mapa final'!$A$30),"")</f>
        <v/>
      </c>
      <c r="AI32" s="491"/>
      <c r="AJ32" s="491" t="str">
        <f>IF(AND('Mapa final'!$M$36="Baja",'Mapa final'!$Q$36="Catastrófico"),CONCATENATE("R",'Mapa final'!$A$36),"")</f>
        <v/>
      </c>
      <c r="AK32" s="491"/>
      <c r="AL32" s="491" t="str">
        <f>IF(AND('Mapa final'!$M$42="Baja",'Mapa final'!$Q$42="Catastrófico"),CONCATENATE("R",'Mapa final'!$A$42),"")</f>
        <v/>
      </c>
      <c r="AM32" s="492"/>
      <c r="AN32" s="69"/>
      <c r="AO32" s="464"/>
      <c r="AP32" s="465"/>
      <c r="AQ32" s="465"/>
      <c r="AR32" s="465"/>
      <c r="AS32" s="465"/>
      <c r="AT32" s="466"/>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row>
    <row r="33" spans="1:80" x14ac:dyDescent="0.25">
      <c r="A33" s="69"/>
      <c r="B33" s="432"/>
      <c r="C33" s="432"/>
      <c r="D33" s="433"/>
      <c r="E33" s="473"/>
      <c r="F33" s="474"/>
      <c r="G33" s="474"/>
      <c r="H33" s="474"/>
      <c r="I33" s="474"/>
      <c r="J33" s="510"/>
      <c r="K33" s="508"/>
      <c r="L33" s="508"/>
      <c r="M33" s="508"/>
      <c r="N33" s="508"/>
      <c r="O33" s="509"/>
      <c r="P33" s="500"/>
      <c r="Q33" s="500"/>
      <c r="R33" s="500"/>
      <c r="S33" s="500"/>
      <c r="T33" s="500"/>
      <c r="U33" s="501"/>
      <c r="V33" s="499"/>
      <c r="W33" s="500"/>
      <c r="X33" s="500"/>
      <c r="Y33" s="500"/>
      <c r="Z33" s="500"/>
      <c r="AA33" s="501"/>
      <c r="AB33" s="483"/>
      <c r="AC33" s="479"/>
      <c r="AD33" s="479"/>
      <c r="AE33" s="479"/>
      <c r="AF33" s="479"/>
      <c r="AG33" s="480"/>
      <c r="AH33" s="490"/>
      <c r="AI33" s="491"/>
      <c r="AJ33" s="491"/>
      <c r="AK33" s="491"/>
      <c r="AL33" s="491"/>
      <c r="AM33" s="492"/>
      <c r="AN33" s="69"/>
      <c r="AO33" s="464"/>
      <c r="AP33" s="465"/>
      <c r="AQ33" s="465"/>
      <c r="AR33" s="465"/>
      <c r="AS33" s="465"/>
      <c r="AT33" s="466"/>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row>
    <row r="34" spans="1:80" x14ac:dyDescent="0.25">
      <c r="A34" s="69"/>
      <c r="B34" s="432"/>
      <c r="C34" s="432"/>
      <c r="D34" s="433"/>
      <c r="E34" s="473"/>
      <c r="F34" s="474"/>
      <c r="G34" s="474"/>
      <c r="H34" s="474"/>
      <c r="I34" s="474"/>
      <c r="J34" s="510" t="str">
        <f>IF(AND('Mapa final'!$M$48="Baja",'Mapa final'!$Q$48="Leve"),CONCATENATE("R",'Mapa final'!$A$48),"")</f>
        <v/>
      </c>
      <c r="K34" s="508"/>
      <c r="L34" s="508" t="str">
        <f>IF(AND('Mapa final'!$M$54="Baja",'Mapa final'!$Q$54="Leve"),CONCATENATE("R",'Mapa final'!$A$54),"")</f>
        <v/>
      </c>
      <c r="M34" s="508"/>
      <c r="N34" s="508" t="str">
        <f>IF(AND('Mapa final'!$M$60="Baja",'Mapa final'!$Q$60="Leve"),CONCATENATE("R",'Mapa final'!$A$60),"")</f>
        <v/>
      </c>
      <c r="O34" s="509"/>
      <c r="P34" s="500" t="str">
        <f>IF(AND('Mapa final'!$M$48="Baja",'Mapa final'!$Q$48="Menor"),CONCATENATE("R",'Mapa final'!$A$48),"")</f>
        <v/>
      </c>
      <c r="Q34" s="500"/>
      <c r="R34" s="500" t="str">
        <f>IF(AND('Mapa final'!$M$54="Baja",'Mapa final'!$Q$54="Menor"),CONCATENATE("R",'Mapa final'!$A$54),"")</f>
        <v/>
      </c>
      <c r="S34" s="500"/>
      <c r="T34" s="500" t="str">
        <f>IF(AND('Mapa final'!$M$60="Baja",'Mapa final'!$Q$60="Menor"),CONCATENATE("R",'Mapa final'!$A$60),"")</f>
        <v/>
      </c>
      <c r="U34" s="501"/>
      <c r="V34" s="499" t="str">
        <f>IF(AND('Mapa final'!$M$48="Baja",'Mapa final'!$Q$48="Moderado"),CONCATENATE("R",'Mapa final'!$A$48),"")</f>
        <v/>
      </c>
      <c r="W34" s="500"/>
      <c r="X34" s="500" t="str">
        <f>IF(AND('Mapa final'!$M$54="Baja",'Mapa final'!$Q$54="Moderado"),CONCATENATE("R",'Mapa final'!$A$54),"")</f>
        <v/>
      </c>
      <c r="Y34" s="500"/>
      <c r="Z34" s="500" t="str">
        <f>IF(AND('Mapa final'!$M$60="Baja",'Mapa final'!$Q$60="Moderado"),CONCATENATE("R",'Mapa final'!$A$60),"")</f>
        <v/>
      </c>
      <c r="AA34" s="501"/>
      <c r="AB34" s="483" t="str">
        <f>IF(AND('Mapa final'!$M$48="Baja",'Mapa final'!$Q$48="Mayor"),CONCATENATE("R",'Mapa final'!$A$48),"")</f>
        <v/>
      </c>
      <c r="AC34" s="479"/>
      <c r="AD34" s="479" t="str">
        <f>IF(AND('Mapa final'!$M$54="Baja",'Mapa final'!$Q$54="Mayor"),CONCATENATE("R",'Mapa final'!$A$54),"")</f>
        <v/>
      </c>
      <c r="AE34" s="479"/>
      <c r="AF34" s="479" t="str">
        <f>IF(AND('Mapa final'!$M$60="Baja",'Mapa final'!$Q$60="Mayor"),CONCATENATE("R",'Mapa final'!$A$60),"")</f>
        <v/>
      </c>
      <c r="AG34" s="480"/>
      <c r="AH34" s="490" t="str">
        <f>IF(AND('Mapa final'!$M$48="Baja",'Mapa final'!$Q$48="Catastrófico"),CONCATENATE("R",'Mapa final'!$A$48),"")</f>
        <v/>
      </c>
      <c r="AI34" s="491"/>
      <c r="AJ34" s="491" t="str">
        <f>IF(AND('Mapa final'!$M$54="Baja",'Mapa final'!$Q$54="Catastrófico"),CONCATENATE("R",'Mapa final'!$A$54),"")</f>
        <v/>
      </c>
      <c r="AK34" s="491"/>
      <c r="AL34" s="491" t="str">
        <f>IF(AND('Mapa final'!$M$60="Baja",'Mapa final'!$Q$60="Catastrófico"),CONCATENATE("R",'Mapa final'!$A$60),"")</f>
        <v/>
      </c>
      <c r="AM34" s="492"/>
      <c r="AN34" s="69"/>
      <c r="AO34" s="464"/>
      <c r="AP34" s="465"/>
      <c r="AQ34" s="465"/>
      <c r="AR34" s="465"/>
      <c r="AS34" s="465"/>
      <c r="AT34" s="466"/>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row>
    <row r="35" spans="1:80" x14ac:dyDescent="0.25">
      <c r="A35" s="69"/>
      <c r="B35" s="432"/>
      <c r="C35" s="432"/>
      <c r="D35" s="433"/>
      <c r="E35" s="473"/>
      <c r="F35" s="474"/>
      <c r="G35" s="474"/>
      <c r="H35" s="474"/>
      <c r="I35" s="474"/>
      <c r="J35" s="510"/>
      <c r="K35" s="508"/>
      <c r="L35" s="508"/>
      <c r="M35" s="508"/>
      <c r="N35" s="508"/>
      <c r="O35" s="509"/>
      <c r="P35" s="500"/>
      <c r="Q35" s="500"/>
      <c r="R35" s="500"/>
      <c r="S35" s="500"/>
      <c r="T35" s="500"/>
      <c r="U35" s="501"/>
      <c r="V35" s="499"/>
      <c r="W35" s="500"/>
      <c r="X35" s="500"/>
      <c r="Y35" s="500"/>
      <c r="Z35" s="500"/>
      <c r="AA35" s="501"/>
      <c r="AB35" s="483"/>
      <c r="AC35" s="479"/>
      <c r="AD35" s="479"/>
      <c r="AE35" s="479"/>
      <c r="AF35" s="479"/>
      <c r="AG35" s="480"/>
      <c r="AH35" s="490"/>
      <c r="AI35" s="491"/>
      <c r="AJ35" s="491"/>
      <c r="AK35" s="491"/>
      <c r="AL35" s="491"/>
      <c r="AM35" s="492"/>
      <c r="AN35" s="69"/>
      <c r="AO35" s="464"/>
      <c r="AP35" s="465"/>
      <c r="AQ35" s="465"/>
      <c r="AR35" s="465"/>
      <c r="AS35" s="465"/>
      <c r="AT35" s="466"/>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row>
    <row r="36" spans="1:80" x14ac:dyDescent="0.25">
      <c r="A36" s="69"/>
      <c r="B36" s="432"/>
      <c r="C36" s="432"/>
      <c r="D36" s="433"/>
      <c r="E36" s="473"/>
      <c r="F36" s="474"/>
      <c r="G36" s="474"/>
      <c r="H36" s="474"/>
      <c r="I36" s="474"/>
      <c r="J36" s="510" t="str">
        <f>IF(AND('Mapa final'!$M$66="Baja",'Mapa final'!$Q$66="Leve"),CONCATENATE("R",'Mapa final'!$A$66),"")</f>
        <v/>
      </c>
      <c r="K36" s="508"/>
      <c r="L36" s="508" t="str">
        <f>IF(AND('Mapa final'!$M$72="Baja",'Mapa final'!$Q$72="Leve"),CONCATENATE("R",'Mapa final'!$A$72),"")</f>
        <v/>
      </c>
      <c r="M36" s="508"/>
      <c r="N36" s="508" t="str">
        <f>IF(AND('Mapa final'!$M$78="Baja",'Mapa final'!$Q$78="Leve"),CONCATENATE("R",'Mapa final'!$A$78),"")</f>
        <v/>
      </c>
      <c r="O36" s="509"/>
      <c r="P36" s="500" t="str">
        <f>IF(AND('Mapa final'!$M$66="Baja",'Mapa final'!$Q$66="Menor"),CONCATENATE("R",'Mapa final'!$A$66),"")</f>
        <v/>
      </c>
      <c r="Q36" s="500"/>
      <c r="R36" s="500" t="str">
        <f>IF(AND('Mapa final'!$M$72="Baja",'Mapa final'!$Q$72="Menor"),CONCATENATE("R",'Mapa final'!$A$72),"")</f>
        <v/>
      </c>
      <c r="S36" s="500"/>
      <c r="T36" s="500" t="str">
        <f>IF(AND('Mapa final'!$M$78="Baja",'Mapa final'!$Q$78="Menor"),CONCATENATE("R",'Mapa final'!$A$78),"")</f>
        <v/>
      </c>
      <c r="U36" s="501"/>
      <c r="V36" s="499" t="str">
        <f>IF(AND('Mapa final'!$M$66="Baja",'Mapa final'!$Q$66="Moderado"),CONCATENATE("R",'Mapa final'!$A$66),"")</f>
        <v/>
      </c>
      <c r="W36" s="500"/>
      <c r="X36" s="500" t="str">
        <f>IF(AND('Mapa final'!$M$72="Baja",'Mapa final'!$Q$72="Moderado"),CONCATENATE("R",'Mapa final'!$A$72),"")</f>
        <v/>
      </c>
      <c r="Y36" s="500"/>
      <c r="Z36" s="500" t="str">
        <f>IF(AND('Mapa final'!$M$78="Baja",'Mapa final'!$Q$78="Moderado"),CONCATENATE("R",'Mapa final'!$A$78),"")</f>
        <v/>
      </c>
      <c r="AA36" s="501"/>
      <c r="AB36" s="483" t="str">
        <f>IF(AND('Mapa final'!$M$66="Baja",'Mapa final'!$Q$66="Mayor"),CONCATENATE("R",'Mapa final'!$A$66),"")</f>
        <v/>
      </c>
      <c r="AC36" s="479"/>
      <c r="AD36" s="479" t="str">
        <f>IF(AND('Mapa final'!$M$72="Baja",'Mapa final'!$Q$72="Mayor"),CONCATENATE("R",'Mapa final'!$A$72),"")</f>
        <v/>
      </c>
      <c r="AE36" s="479"/>
      <c r="AF36" s="479" t="str">
        <f>IF(AND('Mapa final'!$M$78="Baja",'Mapa final'!$Q$78="Mayor"),CONCATENATE("R",'Mapa final'!$A$78),"")</f>
        <v/>
      </c>
      <c r="AG36" s="480"/>
      <c r="AH36" s="490" t="str">
        <f>IF(AND('Mapa final'!$M$66="Baja",'Mapa final'!$Q$66="Catastrófico"),CONCATENATE("R",'Mapa final'!$A$66),"")</f>
        <v/>
      </c>
      <c r="AI36" s="491"/>
      <c r="AJ36" s="491" t="str">
        <f>IF(AND('Mapa final'!$M$72="Baja",'Mapa final'!$Q$72="Catastrófico"),CONCATENATE("R",'Mapa final'!$A$72),"")</f>
        <v/>
      </c>
      <c r="AK36" s="491"/>
      <c r="AL36" s="491" t="str">
        <f>IF(AND('Mapa final'!$M$78="Baja",'Mapa final'!$Q$78="Catastrófico"),CONCATENATE("R",'Mapa final'!$A$78),"")</f>
        <v/>
      </c>
      <c r="AM36" s="492"/>
      <c r="AN36" s="69"/>
      <c r="AO36" s="464"/>
      <c r="AP36" s="465"/>
      <c r="AQ36" s="465"/>
      <c r="AR36" s="465"/>
      <c r="AS36" s="465"/>
      <c r="AT36" s="466"/>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row>
    <row r="37" spans="1:80" ht="15.75" thickBot="1" x14ac:dyDescent="0.3">
      <c r="A37" s="69"/>
      <c r="B37" s="432"/>
      <c r="C37" s="432"/>
      <c r="D37" s="433"/>
      <c r="E37" s="476"/>
      <c r="F37" s="477"/>
      <c r="G37" s="477"/>
      <c r="H37" s="477"/>
      <c r="I37" s="477"/>
      <c r="J37" s="511"/>
      <c r="K37" s="512"/>
      <c r="L37" s="512"/>
      <c r="M37" s="512"/>
      <c r="N37" s="512"/>
      <c r="O37" s="513"/>
      <c r="P37" s="503"/>
      <c r="Q37" s="503"/>
      <c r="R37" s="503"/>
      <c r="S37" s="503"/>
      <c r="T37" s="503"/>
      <c r="U37" s="504"/>
      <c r="V37" s="502"/>
      <c r="W37" s="503"/>
      <c r="X37" s="503"/>
      <c r="Y37" s="503"/>
      <c r="Z37" s="503"/>
      <c r="AA37" s="504"/>
      <c r="AB37" s="487"/>
      <c r="AC37" s="488"/>
      <c r="AD37" s="488"/>
      <c r="AE37" s="488"/>
      <c r="AF37" s="488"/>
      <c r="AG37" s="489"/>
      <c r="AH37" s="493"/>
      <c r="AI37" s="494"/>
      <c r="AJ37" s="494"/>
      <c r="AK37" s="494"/>
      <c r="AL37" s="494"/>
      <c r="AM37" s="495"/>
      <c r="AN37" s="69"/>
      <c r="AO37" s="467"/>
      <c r="AP37" s="468"/>
      <c r="AQ37" s="468"/>
      <c r="AR37" s="468"/>
      <c r="AS37" s="468"/>
      <c r="AT37" s="4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row>
    <row r="38" spans="1:80" x14ac:dyDescent="0.25">
      <c r="A38" s="69"/>
      <c r="B38" s="432"/>
      <c r="C38" s="432"/>
      <c r="D38" s="433"/>
      <c r="E38" s="470" t="s">
        <v>113</v>
      </c>
      <c r="F38" s="471"/>
      <c r="G38" s="471"/>
      <c r="H38" s="471"/>
      <c r="I38" s="472"/>
      <c r="J38" s="514" t="str">
        <f>IF(AND('Mapa final'!$M$12="Muy Baja",'Mapa final'!$Q$12="Leve"),CONCATENATE("R",'Mapa final'!$A$12),"")</f>
        <v/>
      </c>
      <c r="K38" s="515"/>
      <c r="L38" s="515" t="str">
        <f>IF(AND('Mapa final'!$M$18="Muy Baja",'Mapa final'!$Q$18="Leve"),CONCATENATE("R",'Mapa final'!$A$18),"")</f>
        <v/>
      </c>
      <c r="M38" s="515"/>
      <c r="N38" s="515" t="str">
        <f>IF(AND('Mapa final'!$M$24="Muy Baja",'Mapa final'!$Q$24="Leve"),CONCATENATE("R",'Mapa final'!$A$24),"")</f>
        <v/>
      </c>
      <c r="O38" s="516"/>
      <c r="P38" s="514" t="str">
        <f>IF(AND('Mapa final'!$M$12="Muy Baja",'Mapa final'!$Q$12="Menor"),CONCATENATE("R",'Mapa final'!$A$12),"")</f>
        <v/>
      </c>
      <c r="Q38" s="515"/>
      <c r="R38" s="515" t="str">
        <f>IF(AND('Mapa final'!$M$18="Muy Baja",'Mapa final'!$Q$18="Menor"),CONCATENATE("R",'Mapa final'!$A$18),"")</f>
        <v/>
      </c>
      <c r="S38" s="515"/>
      <c r="T38" s="515" t="str">
        <f>IF(AND('Mapa final'!$M$24="Muy Baja",'Mapa final'!$Q$24="Menor"),CONCATENATE("R",'Mapa final'!$A$24),"")</f>
        <v/>
      </c>
      <c r="U38" s="516"/>
      <c r="V38" s="505" t="str">
        <f>IF(AND('Mapa final'!$M$12="Muy Baja",'Mapa final'!$Q$12="Moderado"),CONCATENATE("R",'Mapa final'!$A$12),"")</f>
        <v/>
      </c>
      <c r="W38" s="506"/>
      <c r="X38" s="506" t="str">
        <f>IF(AND('Mapa final'!$M$18="Muy Baja",'Mapa final'!$Q$18="Moderado"),CONCATENATE("R",'Mapa final'!$A$18),"")</f>
        <v/>
      </c>
      <c r="Y38" s="506"/>
      <c r="Z38" s="506" t="str">
        <f>IF(AND('Mapa final'!$M$24="Muy Baja",'Mapa final'!$Q$24="Moderado"),CONCATENATE("R",'Mapa final'!$A$24),"")</f>
        <v/>
      </c>
      <c r="AA38" s="507"/>
      <c r="AB38" s="481" t="str">
        <f>IF(AND('Mapa final'!$M$12="Muy Baja",'Mapa final'!$Q$12="Mayor"),CONCATENATE("R",'Mapa final'!$A$12),"")</f>
        <v/>
      </c>
      <c r="AC38" s="482"/>
      <c r="AD38" s="482" t="str">
        <f>IF(AND('Mapa final'!$M$18="Muy Baja",'Mapa final'!$Q$18="Mayor"),CONCATENATE("R",'Mapa final'!$A$18),"")</f>
        <v/>
      </c>
      <c r="AE38" s="482"/>
      <c r="AF38" s="482" t="str">
        <f>IF(AND('Mapa final'!$M$24="Muy Baja",'Mapa final'!$Q$24="Mayor"),CONCATENATE("R",'Mapa final'!$A$24),"")</f>
        <v/>
      </c>
      <c r="AG38" s="484"/>
      <c r="AH38" s="496" t="str">
        <f>IF(AND('Mapa final'!$M$12="Muy Baja",'Mapa final'!$Q$12="Catastrófico"),CONCATENATE("R",'Mapa final'!$A$12),"")</f>
        <v/>
      </c>
      <c r="AI38" s="497"/>
      <c r="AJ38" s="497" t="str">
        <f>IF(AND('Mapa final'!$M$18="Muy Baja",'Mapa final'!$Q$18="Catastrófico"),CONCATENATE("R",'Mapa final'!$A$18),"")</f>
        <v/>
      </c>
      <c r="AK38" s="497"/>
      <c r="AL38" s="497" t="str">
        <f>IF(AND('Mapa final'!$M$24="Muy Baja",'Mapa final'!$Q$24="Catastrófico"),CONCATENATE("R",'Mapa final'!$A$24),"")</f>
        <v/>
      </c>
      <c r="AM38" s="498"/>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row>
    <row r="39" spans="1:80" x14ac:dyDescent="0.25">
      <c r="A39" s="69"/>
      <c r="B39" s="432"/>
      <c r="C39" s="432"/>
      <c r="D39" s="433"/>
      <c r="E39" s="473"/>
      <c r="F39" s="474"/>
      <c r="G39" s="474"/>
      <c r="H39" s="474"/>
      <c r="I39" s="475"/>
      <c r="J39" s="510"/>
      <c r="K39" s="508"/>
      <c r="L39" s="508"/>
      <c r="M39" s="508"/>
      <c r="N39" s="508"/>
      <c r="O39" s="509"/>
      <c r="P39" s="510"/>
      <c r="Q39" s="508"/>
      <c r="R39" s="508"/>
      <c r="S39" s="508"/>
      <c r="T39" s="508"/>
      <c r="U39" s="509"/>
      <c r="V39" s="499"/>
      <c r="W39" s="500"/>
      <c r="X39" s="500"/>
      <c r="Y39" s="500"/>
      <c r="Z39" s="500"/>
      <c r="AA39" s="501"/>
      <c r="AB39" s="483"/>
      <c r="AC39" s="479"/>
      <c r="AD39" s="479"/>
      <c r="AE39" s="479"/>
      <c r="AF39" s="479"/>
      <c r="AG39" s="480"/>
      <c r="AH39" s="490"/>
      <c r="AI39" s="491"/>
      <c r="AJ39" s="491"/>
      <c r="AK39" s="491"/>
      <c r="AL39" s="491"/>
      <c r="AM39" s="492"/>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row>
    <row r="40" spans="1:80" x14ac:dyDescent="0.25">
      <c r="A40" s="69"/>
      <c r="B40" s="432"/>
      <c r="C40" s="432"/>
      <c r="D40" s="433"/>
      <c r="E40" s="473"/>
      <c r="F40" s="474"/>
      <c r="G40" s="474"/>
      <c r="H40" s="474"/>
      <c r="I40" s="475"/>
      <c r="J40" s="510" t="str">
        <f>IF(AND('Mapa final'!$M$30="Muy Baja",'Mapa final'!$Q$30="Leve"),CONCATENATE("R",'Mapa final'!$A$30),"")</f>
        <v/>
      </c>
      <c r="K40" s="508"/>
      <c r="L40" s="508" t="str">
        <f>IF(AND('Mapa final'!$M$36="Muy Baja",'Mapa final'!$Q$36="Leve"),CONCATENATE("R",'Mapa final'!$A$36),"")</f>
        <v/>
      </c>
      <c r="M40" s="508"/>
      <c r="N40" s="508" t="str">
        <f>IF(AND('Mapa final'!$M$42="Muy Baja",'Mapa final'!$Q$42="Leve"),CONCATENATE("R",'Mapa final'!$A$42),"")</f>
        <v/>
      </c>
      <c r="O40" s="509"/>
      <c r="P40" s="510" t="str">
        <f>IF(AND('Mapa final'!$M$30="Muy Baja",'Mapa final'!$Q$30="Menor"),CONCATENATE("R",'Mapa final'!$A$30),"")</f>
        <v/>
      </c>
      <c r="Q40" s="508"/>
      <c r="R40" s="508" t="str">
        <f>IF(AND('Mapa final'!$M$36="Muy Baja",'Mapa final'!$Q$36="Menor"),CONCATENATE("R",'Mapa final'!$A$36),"")</f>
        <v/>
      </c>
      <c r="S40" s="508"/>
      <c r="T40" s="508" t="str">
        <f>IF(AND('Mapa final'!$M$42="Muy Baja",'Mapa final'!$Q$42="Menor"),CONCATENATE("R",'Mapa final'!$A$42),"")</f>
        <v/>
      </c>
      <c r="U40" s="509"/>
      <c r="V40" s="499" t="str">
        <f>IF(AND('Mapa final'!$M$30="Muy Baja",'Mapa final'!$Q$30="Moderado"),CONCATENATE("R",'Mapa final'!$A$30),"")</f>
        <v/>
      </c>
      <c r="W40" s="500"/>
      <c r="X40" s="500" t="str">
        <f>IF(AND('Mapa final'!$M$36="Muy Baja",'Mapa final'!$Q$36="Moderado"),CONCATENATE("R",'Mapa final'!$A$36),"")</f>
        <v/>
      </c>
      <c r="Y40" s="500"/>
      <c r="Z40" s="500" t="str">
        <f>IF(AND('Mapa final'!$M$42="Muy Baja",'Mapa final'!$Q$42="Moderado"),CONCATENATE("R",'Mapa final'!$A$42),"")</f>
        <v/>
      </c>
      <c r="AA40" s="501"/>
      <c r="AB40" s="483" t="str">
        <f>IF(AND('Mapa final'!$M$30="Muy Baja",'Mapa final'!$Q$30="Mayor"),CONCATENATE("R",'Mapa final'!$A$30),"")</f>
        <v/>
      </c>
      <c r="AC40" s="479"/>
      <c r="AD40" s="479" t="str">
        <f>IF(AND('Mapa final'!$M$36="Muy Baja",'Mapa final'!$Q$36="Mayor"),CONCATENATE("R",'Mapa final'!$A$36),"")</f>
        <v/>
      </c>
      <c r="AE40" s="479"/>
      <c r="AF40" s="479" t="str">
        <f>IF(AND('Mapa final'!$M$42="Muy Baja",'Mapa final'!$Q$42="Mayor"),CONCATENATE("R",'Mapa final'!$A$42),"")</f>
        <v/>
      </c>
      <c r="AG40" s="480"/>
      <c r="AH40" s="490" t="str">
        <f>IF(AND('Mapa final'!$M$30="Muy Baja",'Mapa final'!$Q$30="Catastrófico"),CONCATENATE("R",'Mapa final'!$A$30),"")</f>
        <v/>
      </c>
      <c r="AI40" s="491"/>
      <c r="AJ40" s="491" t="str">
        <f>IF(AND('Mapa final'!$M$36="Muy Baja",'Mapa final'!$Q$36="Catastrófico"),CONCATENATE("R",'Mapa final'!$A$36),"")</f>
        <v/>
      </c>
      <c r="AK40" s="491"/>
      <c r="AL40" s="491" t="str">
        <f>IF(AND('Mapa final'!$M$42="Muy Baja",'Mapa final'!$Q$42="Catastrófico"),CONCATENATE("R",'Mapa final'!$A$42),"")</f>
        <v/>
      </c>
      <c r="AM40" s="492"/>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row>
    <row r="41" spans="1:80" x14ac:dyDescent="0.25">
      <c r="A41" s="69"/>
      <c r="B41" s="432"/>
      <c r="C41" s="432"/>
      <c r="D41" s="433"/>
      <c r="E41" s="473"/>
      <c r="F41" s="474"/>
      <c r="G41" s="474"/>
      <c r="H41" s="474"/>
      <c r="I41" s="475"/>
      <c r="J41" s="510"/>
      <c r="K41" s="508"/>
      <c r="L41" s="508"/>
      <c r="M41" s="508"/>
      <c r="N41" s="508"/>
      <c r="O41" s="509"/>
      <c r="P41" s="510"/>
      <c r="Q41" s="508"/>
      <c r="R41" s="508"/>
      <c r="S41" s="508"/>
      <c r="T41" s="508"/>
      <c r="U41" s="509"/>
      <c r="V41" s="499"/>
      <c r="W41" s="500"/>
      <c r="X41" s="500"/>
      <c r="Y41" s="500"/>
      <c r="Z41" s="500"/>
      <c r="AA41" s="501"/>
      <c r="AB41" s="483"/>
      <c r="AC41" s="479"/>
      <c r="AD41" s="479"/>
      <c r="AE41" s="479"/>
      <c r="AF41" s="479"/>
      <c r="AG41" s="480"/>
      <c r="AH41" s="490"/>
      <c r="AI41" s="491"/>
      <c r="AJ41" s="491"/>
      <c r="AK41" s="491"/>
      <c r="AL41" s="491"/>
      <c r="AM41" s="492"/>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row>
    <row r="42" spans="1:80" x14ac:dyDescent="0.25">
      <c r="A42" s="69"/>
      <c r="B42" s="432"/>
      <c r="C42" s="432"/>
      <c r="D42" s="433"/>
      <c r="E42" s="473"/>
      <c r="F42" s="474"/>
      <c r="G42" s="474"/>
      <c r="H42" s="474"/>
      <c r="I42" s="475"/>
      <c r="J42" s="510" t="str">
        <f>IF(AND('Mapa final'!$M$48="Muy Baja",'Mapa final'!$Q$48="Leve"),CONCATENATE("R",'Mapa final'!$A$48),"")</f>
        <v/>
      </c>
      <c r="K42" s="508"/>
      <c r="L42" s="508" t="str">
        <f>IF(AND('Mapa final'!$M$54="Muy Baja",'Mapa final'!$Q$54="Leve"),CONCATENATE("R",'Mapa final'!$A$54),"")</f>
        <v/>
      </c>
      <c r="M42" s="508"/>
      <c r="N42" s="508" t="str">
        <f>IF(AND('Mapa final'!$M$60="Muy Baja",'Mapa final'!$Q$60="Leve"),CONCATENATE("R",'Mapa final'!$A$60),"")</f>
        <v/>
      </c>
      <c r="O42" s="509"/>
      <c r="P42" s="510" t="str">
        <f>IF(AND('Mapa final'!$M$48="Muy Baja",'Mapa final'!$Q$48="Menor"),CONCATENATE("R",'Mapa final'!$A$48),"")</f>
        <v/>
      </c>
      <c r="Q42" s="508"/>
      <c r="R42" s="508" t="str">
        <f>IF(AND('Mapa final'!$M$54="Muy Baja",'Mapa final'!$Q$54="Menor"),CONCATENATE("R",'Mapa final'!$A$54),"")</f>
        <v/>
      </c>
      <c r="S42" s="508"/>
      <c r="T42" s="508" t="str">
        <f>IF(AND('Mapa final'!$M$60="Muy Baja",'Mapa final'!$Q$60="Menor"),CONCATENATE("R",'Mapa final'!$A$60),"")</f>
        <v/>
      </c>
      <c r="U42" s="509"/>
      <c r="V42" s="499" t="str">
        <f>IF(AND('Mapa final'!$M$48="Muy Baja",'Mapa final'!$Q$48="Moderado"),CONCATENATE("R",'Mapa final'!$A$48),"")</f>
        <v/>
      </c>
      <c r="W42" s="500"/>
      <c r="X42" s="500" t="str">
        <f>IF(AND('Mapa final'!$M$54="Muy Baja",'Mapa final'!$Q$54="Moderado"),CONCATENATE("R",'Mapa final'!$A$54),"")</f>
        <v/>
      </c>
      <c r="Y42" s="500"/>
      <c r="Z42" s="500" t="str">
        <f>IF(AND('Mapa final'!$M$60="Muy Baja",'Mapa final'!$Q$60="Moderado"),CONCATENATE("R",'Mapa final'!$A$60),"")</f>
        <v/>
      </c>
      <c r="AA42" s="501"/>
      <c r="AB42" s="483" t="str">
        <f>IF(AND('Mapa final'!$M$48="Muy Baja",'Mapa final'!$Q$48="Mayor"),CONCATENATE("R",'Mapa final'!$A$48),"")</f>
        <v/>
      </c>
      <c r="AC42" s="479"/>
      <c r="AD42" s="479" t="str">
        <f>IF(AND('Mapa final'!$M$54="Muy Baja",'Mapa final'!$Q$54="Mayor"),CONCATENATE("R",'Mapa final'!$A$54),"")</f>
        <v/>
      </c>
      <c r="AE42" s="479"/>
      <c r="AF42" s="479" t="str">
        <f>IF(AND('Mapa final'!$M$60="Muy Baja",'Mapa final'!$Q$60="Mayor"),CONCATENATE("R",'Mapa final'!$A$60),"")</f>
        <v/>
      </c>
      <c r="AG42" s="480"/>
      <c r="AH42" s="490" t="str">
        <f>IF(AND('Mapa final'!$M$48="Muy Baja",'Mapa final'!$Q$48="Catastrófico"),CONCATENATE("R",'Mapa final'!$A$48),"")</f>
        <v/>
      </c>
      <c r="AI42" s="491"/>
      <c r="AJ42" s="491" t="str">
        <f>IF(AND('Mapa final'!$M$54="Muy Baja",'Mapa final'!$Q$54="Catastrófico"),CONCATENATE("R",'Mapa final'!$A$54),"")</f>
        <v/>
      </c>
      <c r="AK42" s="491"/>
      <c r="AL42" s="491" t="str">
        <f>IF(AND('Mapa final'!$M$60="Muy Baja",'Mapa final'!$Q$60="Catastrófico"),CONCATENATE("R",'Mapa final'!$A$60),"")</f>
        <v>R9</v>
      </c>
      <c r="AM42" s="492"/>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row>
    <row r="43" spans="1:80" x14ac:dyDescent="0.25">
      <c r="A43" s="69"/>
      <c r="B43" s="432"/>
      <c r="C43" s="432"/>
      <c r="D43" s="433"/>
      <c r="E43" s="473"/>
      <c r="F43" s="474"/>
      <c r="G43" s="474"/>
      <c r="H43" s="474"/>
      <c r="I43" s="475"/>
      <c r="J43" s="510"/>
      <c r="K43" s="508"/>
      <c r="L43" s="508"/>
      <c r="M43" s="508"/>
      <c r="N43" s="508"/>
      <c r="O43" s="509"/>
      <c r="P43" s="510"/>
      <c r="Q43" s="508"/>
      <c r="R43" s="508"/>
      <c r="S43" s="508"/>
      <c r="T43" s="508"/>
      <c r="U43" s="509"/>
      <c r="V43" s="499"/>
      <c r="W43" s="500"/>
      <c r="X43" s="500"/>
      <c r="Y43" s="500"/>
      <c r="Z43" s="500"/>
      <c r="AA43" s="501"/>
      <c r="AB43" s="483"/>
      <c r="AC43" s="479"/>
      <c r="AD43" s="479"/>
      <c r="AE43" s="479"/>
      <c r="AF43" s="479"/>
      <c r="AG43" s="480"/>
      <c r="AH43" s="490"/>
      <c r="AI43" s="491"/>
      <c r="AJ43" s="491"/>
      <c r="AK43" s="491"/>
      <c r="AL43" s="491"/>
      <c r="AM43" s="492"/>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row>
    <row r="44" spans="1:80" x14ac:dyDescent="0.25">
      <c r="A44" s="69"/>
      <c r="B44" s="432"/>
      <c r="C44" s="432"/>
      <c r="D44" s="433"/>
      <c r="E44" s="473"/>
      <c r="F44" s="474"/>
      <c r="G44" s="474"/>
      <c r="H44" s="474"/>
      <c r="I44" s="475"/>
      <c r="J44" s="510" t="str">
        <f>IF(AND('Mapa final'!$M$66="Muy Baja",'Mapa final'!$Q$66="Leve"),CONCATENATE("R",'Mapa final'!$A$66),"")</f>
        <v/>
      </c>
      <c r="K44" s="508"/>
      <c r="L44" s="508" t="str">
        <f>IF(AND('Mapa final'!$M$72="Muy Baja",'Mapa final'!$Q$72="Leve"),CONCATENATE("R",'Mapa final'!$A$72),"")</f>
        <v/>
      </c>
      <c r="M44" s="508"/>
      <c r="N44" s="508" t="str">
        <f>IF(AND('Mapa final'!$M$78="Muy Baja",'Mapa final'!$Q$78="Leve"),CONCATENATE("R",'Mapa final'!$A$78),"")</f>
        <v/>
      </c>
      <c r="O44" s="509"/>
      <c r="P44" s="510" t="str">
        <f>IF(AND('Mapa final'!$M$66="Muy Baja",'Mapa final'!$Q$66="Menor"),CONCATENATE("R",'Mapa final'!$A$66),"")</f>
        <v/>
      </c>
      <c r="Q44" s="508"/>
      <c r="R44" s="508" t="str">
        <f>IF(AND('Mapa final'!$M$72="Muy Baja",'Mapa final'!$Q$72="Menor"),CONCATENATE("R",'Mapa final'!$A$72),"")</f>
        <v/>
      </c>
      <c r="S44" s="508"/>
      <c r="T44" s="508" t="str">
        <f>IF(AND('Mapa final'!$M$78="Muy Baja",'Mapa final'!$Q$78="Menor"),CONCATENATE("R",'Mapa final'!$A$78),"")</f>
        <v/>
      </c>
      <c r="U44" s="509"/>
      <c r="V44" s="499" t="str">
        <f>IF(AND('Mapa final'!$M$66="Muy Baja",'Mapa final'!$Q$66="Moderado"),CONCATENATE("R",'Mapa final'!$A$66),"")</f>
        <v/>
      </c>
      <c r="W44" s="500"/>
      <c r="X44" s="500" t="str">
        <f>IF(AND('Mapa final'!$M$72="Muy Baja",'Mapa final'!$Q$72="Moderado"),CONCATENATE("R",'Mapa final'!$A$72),"")</f>
        <v/>
      </c>
      <c r="Y44" s="500"/>
      <c r="Z44" s="500" t="str">
        <f>IF(AND('Mapa final'!$M$78="Muy Baja",'Mapa final'!$Q$78="Moderado"),CONCATENATE("R",'Mapa final'!$A$78),"")</f>
        <v/>
      </c>
      <c r="AA44" s="501"/>
      <c r="AB44" s="483" t="str">
        <f>IF(AND('Mapa final'!$M$66="Muy Baja",'Mapa final'!$Q$66="Mayor"),CONCATENATE("R",'Mapa final'!$A$66),"")</f>
        <v/>
      </c>
      <c r="AC44" s="479"/>
      <c r="AD44" s="479" t="str">
        <f>IF(AND('Mapa final'!$M$72="Muy Baja",'Mapa final'!$Q$72="Mayor"),CONCATENATE("R",'Mapa final'!$A$72),"")</f>
        <v/>
      </c>
      <c r="AE44" s="479"/>
      <c r="AF44" s="479" t="str">
        <f>IF(AND('Mapa final'!$M$78="Muy Baja",'Mapa final'!$Q$78="Mayor"),CONCATENATE("R",'Mapa final'!$A$78),"")</f>
        <v/>
      </c>
      <c r="AG44" s="480"/>
      <c r="AH44" s="490" t="str">
        <f>IF(AND('Mapa final'!$M$66="Muy Baja",'Mapa final'!$Q$66="Catastrófico"),CONCATENATE("R",'Mapa final'!$A$66),"")</f>
        <v/>
      </c>
      <c r="AI44" s="491"/>
      <c r="AJ44" s="491" t="str">
        <f>IF(AND('Mapa final'!$M$72="Muy Baja",'Mapa final'!$Q$72="Catastrófico"),CONCATENATE("R",'Mapa final'!$A$72),"")</f>
        <v/>
      </c>
      <c r="AK44" s="491"/>
      <c r="AL44" s="491" t="str">
        <f>IF(AND('Mapa final'!$M$78="Muy Baja",'Mapa final'!$Q$78="Catastrófico"),CONCATENATE("R",'Mapa final'!$A$78),"")</f>
        <v/>
      </c>
      <c r="AM44" s="492"/>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row>
    <row r="45" spans="1:80" ht="15.75" thickBot="1" x14ac:dyDescent="0.3">
      <c r="A45" s="69"/>
      <c r="B45" s="432"/>
      <c r="C45" s="432"/>
      <c r="D45" s="433"/>
      <c r="E45" s="476"/>
      <c r="F45" s="477"/>
      <c r="G45" s="477"/>
      <c r="H45" s="477"/>
      <c r="I45" s="478"/>
      <c r="J45" s="511"/>
      <c r="K45" s="512"/>
      <c r="L45" s="512"/>
      <c r="M45" s="512"/>
      <c r="N45" s="512"/>
      <c r="O45" s="513"/>
      <c r="P45" s="511"/>
      <c r="Q45" s="512"/>
      <c r="R45" s="512"/>
      <c r="S45" s="512"/>
      <c r="T45" s="512"/>
      <c r="U45" s="513"/>
      <c r="V45" s="502"/>
      <c r="W45" s="503"/>
      <c r="X45" s="503"/>
      <c r="Y45" s="503"/>
      <c r="Z45" s="503"/>
      <c r="AA45" s="504"/>
      <c r="AB45" s="487"/>
      <c r="AC45" s="488"/>
      <c r="AD45" s="488"/>
      <c r="AE45" s="488"/>
      <c r="AF45" s="488"/>
      <c r="AG45" s="489"/>
      <c r="AH45" s="493"/>
      <c r="AI45" s="494"/>
      <c r="AJ45" s="494"/>
      <c r="AK45" s="494"/>
      <c r="AL45" s="494"/>
      <c r="AM45" s="495"/>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row>
    <row r="46" spans="1:80" x14ac:dyDescent="0.25">
      <c r="A46" s="69"/>
      <c r="B46" s="69"/>
      <c r="C46" s="69"/>
      <c r="D46" s="69"/>
      <c r="E46" s="69"/>
      <c r="F46" s="69"/>
      <c r="G46" s="69"/>
      <c r="H46" s="69"/>
      <c r="I46" s="69"/>
      <c r="J46" s="470" t="s">
        <v>112</v>
      </c>
      <c r="K46" s="471"/>
      <c r="L46" s="471"/>
      <c r="M46" s="471"/>
      <c r="N46" s="471"/>
      <c r="O46" s="472"/>
      <c r="P46" s="470" t="s">
        <v>111</v>
      </c>
      <c r="Q46" s="471"/>
      <c r="R46" s="471"/>
      <c r="S46" s="471"/>
      <c r="T46" s="471"/>
      <c r="U46" s="472"/>
      <c r="V46" s="470" t="s">
        <v>110</v>
      </c>
      <c r="W46" s="471"/>
      <c r="X46" s="471"/>
      <c r="Y46" s="471"/>
      <c r="Z46" s="471"/>
      <c r="AA46" s="472"/>
      <c r="AB46" s="470" t="s">
        <v>109</v>
      </c>
      <c r="AC46" s="486"/>
      <c r="AD46" s="471"/>
      <c r="AE46" s="471"/>
      <c r="AF46" s="471"/>
      <c r="AG46" s="472"/>
      <c r="AH46" s="470" t="s">
        <v>108</v>
      </c>
      <c r="AI46" s="471"/>
      <c r="AJ46" s="471"/>
      <c r="AK46" s="471"/>
      <c r="AL46" s="471"/>
      <c r="AM46" s="472"/>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x14ac:dyDescent="0.25">
      <c r="A47" s="69"/>
      <c r="B47" s="69"/>
      <c r="C47" s="69"/>
      <c r="D47" s="69"/>
      <c r="E47" s="69"/>
      <c r="F47" s="69"/>
      <c r="G47" s="69"/>
      <c r="H47" s="69"/>
      <c r="I47" s="69"/>
      <c r="J47" s="473"/>
      <c r="K47" s="474"/>
      <c r="L47" s="474"/>
      <c r="M47" s="474"/>
      <c r="N47" s="474"/>
      <c r="O47" s="475"/>
      <c r="P47" s="473"/>
      <c r="Q47" s="474"/>
      <c r="R47" s="474"/>
      <c r="S47" s="474"/>
      <c r="T47" s="474"/>
      <c r="U47" s="475"/>
      <c r="V47" s="473"/>
      <c r="W47" s="474"/>
      <c r="X47" s="474"/>
      <c r="Y47" s="474"/>
      <c r="Z47" s="474"/>
      <c r="AA47" s="475"/>
      <c r="AB47" s="473"/>
      <c r="AC47" s="474"/>
      <c r="AD47" s="474"/>
      <c r="AE47" s="474"/>
      <c r="AF47" s="474"/>
      <c r="AG47" s="475"/>
      <c r="AH47" s="473"/>
      <c r="AI47" s="474"/>
      <c r="AJ47" s="474"/>
      <c r="AK47" s="474"/>
      <c r="AL47" s="474"/>
      <c r="AM47" s="475"/>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x14ac:dyDescent="0.25">
      <c r="A48" s="69"/>
      <c r="B48" s="69"/>
      <c r="C48" s="69"/>
      <c r="D48" s="69"/>
      <c r="E48" s="69"/>
      <c r="F48" s="69"/>
      <c r="G48" s="69"/>
      <c r="H48" s="69"/>
      <c r="I48" s="69"/>
      <c r="J48" s="473"/>
      <c r="K48" s="474"/>
      <c r="L48" s="474"/>
      <c r="M48" s="474"/>
      <c r="N48" s="474"/>
      <c r="O48" s="475"/>
      <c r="P48" s="473"/>
      <c r="Q48" s="474"/>
      <c r="R48" s="474"/>
      <c r="S48" s="474"/>
      <c r="T48" s="474"/>
      <c r="U48" s="475"/>
      <c r="V48" s="473"/>
      <c r="W48" s="474"/>
      <c r="X48" s="474"/>
      <c r="Y48" s="474"/>
      <c r="Z48" s="474"/>
      <c r="AA48" s="475"/>
      <c r="AB48" s="473"/>
      <c r="AC48" s="474"/>
      <c r="AD48" s="474"/>
      <c r="AE48" s="474"/>
      <c r="AF48" s="474"/>
      <c r="AG48" s="475"/>
      <c r="AH48" s="473"/>
      <c r="AI48" s="474"/>
      <c r="AJ48" s="474"/>
      <c r="AK48" s="474"/>
      <c r="AL48" s="474"/>
      <c r="AM48" s="475"/>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x14ac:dyDescent="0.25">
      <c r="A49" s="69"/>
      <c r="B49" s="69"/>
      <c r="C49" s="69"/>
      <c r="D49" s="69"/>
      <c r="E49" s="69"/>
      <c r="F49" s="69"/>
      <c r="G49" s="69"/>
      <c r="H49" s="69"/>
      <c r="I49" s="69"/>
      <c r="J49" s="473"/>
      <c r="K49" s="474"/>
      <c r="L49" s="474"/>
      <c r="M49" s="474"/>
      <c r="N49" s="474"/>
      <c r="O49" s="475"/>
      <c r="P49" s="473"/>
      <c r="Q49" s="474"/>
      <c r="R49" s="474"/>
      <c r="S49" s="474"/>
      <c r="T49" s="474"/>
      <c r="U49" s="475"/>
      <c r="V49" s="473"/>
      <c r="W49" s="474"/>
      <c r="X49" s="474"/>
      <c r="Y49" s="474"/>
      <c r="Z49" s="474"/>
      <c r="AA49" s="475"/>
      <c r="AB49" s="473"/>
      <c r="AC49" s="474"/>
      <c r="AD49" s="474"/>
      <c r="AE49" s="474"/>
      <c r="AF49" s="474"/>
      <c r="AG49" s="475"/>
      <c r="AH49" s="473"/>
      <c r="AI49" s="474"/>
      <c r="AJ49" s="474"/>
      <c r="AK49" s="474"/>
      <c r="AL49" s="474"/>
      <c r="AM49" s="475"/>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x14ac:dyDescent="0.25">
      <c r="A50" s="69"/>
      <c r="B50" s="69"/>
      <c r="C50" s="69"/>
      <c r="D50" s="69"/>
      <c r="E50" s="69"/>
      <c r="F50" s="69"/>
      <c r="G50" s="69"/>
      <c r="H50" s="69"/>
      <c r="I50" s="69"/>
      <c r="J50" s="473"/>
      <c r="K50" s="474"/>
      <c r="L50" s="474"/>
      <c r="M50" s="474"/>
      <c r="N50" s="474"/>
      <c r="O50" s="475"/>
      <c r="P50" s="473"/>
      <c r="Q50" s="474"/>
      <c r="R50" s="474"/>
      <c r="S50" s="474"/>
      <c r="T50" s="474"/>
      <c r="U50" s="475"/>
      <c r="V50" s="473"/>
      <c r="W50" s="474"/>
      <c r="X50" s="474"/>
      <c r="Y50" s="474"/>
      <c r="Z50" s="474"/>
      <c r="AA50" s="475"/>
      <c r="AB50" s="473"/>
      <c r="AC50" s="474"/>
      <c r="AD50" s="474"/>
      <c r="AE50" s="474"/>
      <c r="AF50" s="474"/>
      <c r="AG50" s="475"/>
      <c r="AH50" s="473"/>
      <c r="AI50" s="474"/>
      <c r="AJ50" s="474"/>
      <c r="AK50" s="474"/>
      <c r="AL50" s="474"/>
      <c r="AM50" s="475"/>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75" thickBot="1" x14ac:dyDescent="0.3">
      <c r="A51" s="69"/>
      <c r="B51" s="69"/>
      <c r="C51" s="69"/>
      <c r="D51" s="69"/>
      <c r="E51" s="69"/>
      <c r="F51" s="69"/>
      <c r="G51" s="69"/>
      <c r="H51" s="69"/>
      <c r="I51" s="69"/>
      <c r="J51" s="476"/>
      <c r="K51" s="477"/>
      <c r="L51" s="477"/>
      <c r="M51" s="477"/>
      <c r="N51" s="477"/>
      <c r="O51" s="478"/>
      <c r="P51" s="476"/>
      <c r="Q51" s="477"/>
      <c r="R51" s="477"/>
      <c r="S51" s="477"/>
      <c r="T51" s="477"/>
      <c r="U51" s="478"/>
      <c r="V51" s="476"/>
      <c r="W51" s="477"/>
      <c r="X51" s="477"/>
      <c r="Y51" s="477"/>
      <c r="Z51" s="477"/>
      <c r="AA51" s="478"/>
      <c r="AB51" s="476"/>
      <c r="AC51" s="477"/>
      <c r="AD51" s="477"/>
      <c r="AE51" s="477"/>
      <c r="AF51" s="477"/>
      <c r="AG51" s="478"/>
      <c r="AH51" s="476"/>
      <c r="AI51" s="477"/>
      <c r="AJ51" s="477"/>
      <c r="AK51" s="477"/>
      <c r="AL51" s="477"/>
      <c r="AM51" s="478"/>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x14ac:dyDescent="0.25">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x14ac:dyDescent="0.25">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x14ac:dyDescent="0.2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row>
    <row r="63" spans="1:80" x14ac:dyDescent="0.2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row>
    <row r="64" spans="1:80" x14ac:dyDescent="0.2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row>
    <row r="65" spans="1:8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row>
    <row r="66" spans="1:8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row>
    <row r="67" spans="1:8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row>
    <row r="68" spans="1:8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row>
    <row r="69" spans="1:8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row>
    <row r="70" spans="1:8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row>
    <row r="71" spans="1:8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row>
    <row r="72" spans="1:8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row>
    <row r="73" spans="1:8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row>
    <row r="74" spans="1:8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row>
    <row r="75" spans="1:8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row>
    <row r="76" spans="1:8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row>
    <row r="77" spans="1:8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row>
    <row r="78" spans="1:8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row>
    <row r="79" spans="1:8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row>
    <row r="80" spans="1:8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row>
    <row r="81" spans="1:63"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row>
    <row r="82" spans="1:63"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row>
    <row r="83" spans="1:63"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row>
    <row r="84" spans="1:63"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row>
    <row r="85" spans="1:63"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row>
    <row r="86" spans="1:63"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row>
    <row r="87" spans="1:63"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row>
    <row r="88" spans="1:63"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row>
    <row r="89" spans="1:63"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row>
    <row r="90" spans="1:63"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row>
    <row r="91" spans="1:63"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row>
    <row r="92" spans="1:63"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row>
    <row r="93" spans="1:63"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row>
    <row r="94" spans="1:63"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c r="BI94" s="69"/>
      <c r="BJ94" s="69"/>
      <c r="BK94" s="69"/>
    </row>
    <row r="95" spans="1:63"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row>
    <row r="96" spans="1:63"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row>
    <row r="97" spans="1:63"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row>
    <row r="98" spans="1:63"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row>
    <row r="99" spans="1:63"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row>
    <row r="100" spans="1:63"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row>
    <row r="101" spans="1:63"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row>
    <row r="102" spans="1:63"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row>
    <row r="103" spans="1:63"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row>
    <row r="104" spans="1:63"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row>
    <row r="105" spans="1:63"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row>
    <row r="106" spans="1:63"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row>
    <row r="107" spans="1:63"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row>
    <row r="108" spans="1:63"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row>
    <row r="109" spans="1:63"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row>
    <row r="110" spans="1:63"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row>
    <row r="111" spans="1:63"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row>
    <row r="112" spans="1:63"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row>
    <row r="113" spans="1:63"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row>
    <row r="114" spans="1:63"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row>
    <row r="115" spans="1:63"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row>
    <row r="116" spans="1:63"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row>
    <row r="117" spans="1:63"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row>
    <row r="118" spans="1:63"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row>
    <row r="119" spans="1:63"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row>
    <row r="120" spans="1:63"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row>
    <row r="121" spans="1:63"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row>
    <row r="122" spans="1:63" x14ac:dyDescent="0.25">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row>
    <row r="123" spans="1:63" x14ac:dyDescent="0.25">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row>
    <row r="124" spans="1:63" x14ac:dyDescent="0.25">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c r="BI124" s="69"/>
      <c r="BJ124" s="69"/>
      <c r="BK124" s="69"/>
    </row>
    <row r="125" spans="1:63" x14ac:dyDescent="0.25">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row>
    <row r="126" spans="1:63" x14ac:dyDescent="0.25">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row>
    <row r="127" spans="1:63" x14ac:dyDescent="0.25">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row>
    <row r="128" spans="1:63" x14ac:dyDescent="0.25">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row>
    <row r="129" spans="2:63" x14ac:dyDescent="0.25">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row>
    <row r="130" spans="2:63" x14ac:dyDescent="0.25">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row>
    <row r="131" spans="2:63" x14ac:dyDescent="0.25">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row>
    <row r="132" spans="2:63" x14ac:dyDescent="0.25">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c r="BI132" s="69"/>
      <c r="BJ132" s="69"/>
      <c r="BK132" s="69"/>
    </row>
    <row r="133" spans="2:63" x14ac:dyDescent="0.25">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row>
    <row r="134" spans="2:63" x14ac:dyDescent="0.25">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row>
    <row r="135" spans="2:63" x14ac:dyDescent="0.25">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c r="BI135" s="69"/>
      <c r="BJ135" s="69"/>
      <c r="BK135" s="69"/>
    </row>
    <row r="136" spans="2:63" x14ac:dyDescent="0.25">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c r="BI136" s="69"/>
      <c r="BJ136" s="69"/>
      <c r="BK136" s="69"/>
    </row>
    <row r="137" spans="2:63" x14ac:dyDescent="0.25">
      <c r="B137" s="69"/>
      <c r="C137" s="69"/>
      <c r="D137" s="69"/>
      <c r="E137" s="69"/>
      <c r="F137" s="69"/>
      <c r="G137" s="69"/>
      <c r="H137" s="69"/>
      <c r="I137" s="69"/>
    </row>
    <row r="138" spans="2:63" x14ac:dyDescent="0.25">
      <c r="B138" s="69"/>
      <c r="C138" s="69"/>
      <c r="D138" s="69"/>
      <c r="E138" s="69"/>
      <c r="F138" s="69"/>
      <c r="G138" s="69"/>
      <c r="H138" s="69"/>
      <c r="I138" s="69"/>
    </row>
    <row r="139" spans="2:63" x14ac:dyDescent="0.25">
      <c r="B139" s="69"/>
      <c r="C139" s="69"/>
      <c r="D139" s="69"/>
      <c r="E139" s="69"/>
      <c r="F139" s="69"/>
      <c r="G139" s="69"/>
      <c r="H139" s="69"/>
      <c r="I139" s="69"/>
    </row>
    <row r="140" spans="2:63" x14ac:dyDescent="0.25">
      <c r="B140" s="69"/>
      <c r="C140" s="69"/>
      <c r="D140" s="69"/>
      <c r="E140" s="69"/>
      <c r="F140" s="69"/>
      <c r="G140" s="69"/>
      <c r="H140" s="69"/>
      <c r="I140" s="69"/>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CM248"/>
  <sheetViews>
    <sheetView showGridLines="0" zoomScale="50" zoomScaleNormal="50" workbookViewId="0">
      <selection activeCell="BI46" sqref="BI46"/>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row>
    <row r="2" spans="1:91" ht="18" customHeight="1" x14ac:dyDescent="0.25">
      <c r="A2" s="69"/>
      <c r="B2" s="543" t="s">
        <v>158</v>
      </c>
      <c r="C2" s="544"/>
      <c r="D2" s="544"/>
      <c r="E2" s="544"/>
      <c r="F2" s="544"/>
      <c r="G2" s="544"/>
      <c r="H2" s="544"/>
      <c r="I2" s="544"/>
      <c r="J2" s="485" t="s">
        <v>2</v>
      </c>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5"/>
      <c r="AM2" s="485"/>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row>
    <row r="3" spans="1:91" ht="18.75" customHeight="1" x14ac:dyDescent="0.25">
      <c r="A3" s="69"/>
      <c r="B3" s="544"/>
      <c r="C3" s="544"/>
      <c r="D3" s="544"/>
      <c r="E3" s="544"/>
      <c r="F3" s="544"/>
      <c r="G3" s="544"/>
      <c r="H3" s="544"/>
      <c r="I3" s="544"/>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row>
    <row r="4" spans="1:91" ht="15" customHeight="1" x14ac:dyDescent="0.25">
      <c r="A4" s="69"/>
      <c r="B4" s="544"/>
      <c r="C4" s="544"/>
      <c r="D4" s="544"/>
      <c r="E4" s="544"/>
      <c r="F4" s="544"/>
      <c r="G4" s="544"/>
      <c r="H4" s="544"/>
      <c r="I4" s="544"/>
      <c r="J4" s="485"/>
      <c r="K4" s="485"/>
      <c r="L4" s="485"/>
      <c r="M4" s="485"/>
      <c r="N4" s="485"/>
      <c r="O4" s="485"/>
      <c r="P4" s="485"/>
      <c r="Q4" s="485"/>
      <c r="R4" s="485"/>
      <c r="S4" s="485"/>
      <c r="T4" s="485"/>
      <c r="U4" s="485"/>
      <c r="V4" s="485"/>
      <c r="W4" s="485"/>
      <c r="X4" s="485"/>
      <c r="Y4" s="485"/>
      <c r="Z4" s="485"/>
      <c r="AA4" s="485"/>
      <c r="AB4" s="485"/>
      <c r="AC4" s="485"/>
      <c r="AD4" s="485"/>
      <c r="AE4" s="485"/>
      <c r="AF4" s="485"/>
      <c r="AG4" s="485"/>
      <c r="AH4" s="485"/>
      <c r="AI4" s="485"/>
      <c r="AJ4" s="485"/>
      <c r="AK4" s="485"/>
      <c r="AL4" s="485"/>
      <c r="AM4" s="485"/>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row>
    <row r="5" spans="1:91"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row>
    <row r="6" spans="1:91" ht="15" customHeight="1" x14ac:dyDescent="0.25">
      <c r="A6" s="69"/>
      <c r="B6" s="432" t="s">
        <v>4</v>
      </c>
      <c r="C6" s="432"/>
      <c r="D6" s="433"/>
      <c r="E6" s="527" t="s">
        <v>116</v>
      </c>
      <c r="F6" s="528"/>
      <c r="G6" s="528"/>
      <c r="H6" s="528"/>
      <c r="I6" s="545"/>
      <c r="J6" s="32" t="str">
        <f>IF(AND('Mapa final'!$AD$12="Muy Alta",'Mapa final'!$AF$12="Leve"),CONCATENATE("R1C",'Mapa final'!$T$12),"")</f>
        <v/>
      </c>
      <c r="K6" s="33" t="str">
        <f>IF(AND('Mapa final'!$AD$13="Muy Alta",'Mapa final'!$AF$13="Leve"),CONCATENATE("R1C",'Mapa final'!$T$13),"")</f>
        <v/>
      </c>
      <c r="L6" s="33" t="str">
        <f>IF(AND('Mapa final'!$AD$14="Muy Alta",'Mapa final'!$AF$14="Leve"),CONCATENATE("R1C",'Mapa final'!$T$14),"")</f>
        <v/>
      </c>
      <c r="M6" s="33" t="str">
        <f>IF(AND('Mapa final'!$AD$15="Muy Alta",'Mapa final'!$AF$15="Leve"),CONCATENATE("R1C",'Mapa final'!$T$15),"")</f>
        <v/>
      </c>
      <c r="N6" s="33" t="str">
        <f>IF(AND('Mapa final'!$AD$16="Muy Alta",'Mapa final'!$AF$16="Leve"),CONCATENATE("R1C",'Mapa final'!$T$16),"")</f>
        <v/>
      </c>
      <c r="O6" s="34" t="str">
        <f>IF(AND('Mapa final'!$AD$17="Muy Alta",'Mapa final'!$AF$17="Leve"),CONCATENATE("R1C",'Mapa final'!$T$17),"")</f>
        <v/>
      </c>
      <c r="P6" s="32" t="str">
        <f>IF(AND('Mapa final'!$AD$12="Muy Alta",'Mapa final'!$AF$12="Menor"),CONCATENATE("R1C",'Mapa final'!$T$12),"")</f>
        <v/>
      </c>
      <c r="Q6" s="33" t="str">
        <f>IF(AND('Mapa final'!$AD$13="Muy Alta",'Mapa final'!$AF$13="Menor"),CONCATENATE("R1C",'Mapa final'!$T$13),"")</f>
        <v/>
      </c>
      <c r="R6" s="33" t="str">
        <f>IF(AND('Mapa final'!$AD$14="Muy Alta",'Mapa final'!$AF$14="Menor"),CONCATENATE("R1C",'Mapa final'!$T$14),"")</f>
        <v/>
      </c>
      <c r="S6" s="33" t="str">
        <f>IF(AND('Mapa final'!$AD$15="Muy Alta",'Mapa final'!$AF$15="Menor"),CONCATENATE("R1C",'Mapa final'!$T$15),"")</f>
        <v/>
      </c>
      <c r="T6" s="33" t="str">
        <f>IF(AND('Mapa final'!$AD$16="Muy Alta",'Mapa final'!$AF$16="Menor"),CONCATENATE("R1C",'Mapa final'!$T$16),"")</f>
        <v/>
      </c>
      <c r="U6" s="34" t="str">
        <f>IF(AND('Mapa final'!$AD$17="Muy Alta",'Mapa final'!$AF$17="Menor"),CONCATENATE("R1C",'Mapa final'!$T$17),"")</f>
        <v/>
      </c>
      <c r="V6" s="32" t="str">
        <f>IF(AND('Mapa final'!$AD$12="Muy Alta",'Mapa final'!$AF$12="Moderado"),CONCATENATE("R1C",'Mapa final'!$T$12),"")</f>
        <v/>
      </c>
      <c r="W6" s="33" t="str">
        <f>IF(AND('Mapa final'!$AD$13="Muy Alta",'Mapa final'!$AF$13="Moderado"),CONCATENATE("R1C",'Mapa final'!$T$13),"")</f>
        <v/>
      </c>
      <c r="X6" s="33" t="str">
        <f>IF(AND('Mapa final'!$AD$14="Muy Alta",'Mapa final'!$AF$14="Moderado"),CONCATENATE("R1C",'Mapa final'!$T$14),"")</f>
        <v/>
      </c>
      <c r="Y6" s="33" t="str">
        <f>IF(AND('Mapa final'!$AD$15="Muy Alta",'Mapa final'!$AF$15="Moderado"),CONCATENATE("R1C",'Mapa final'!$T$15),"")</f>
        <v/>
      </c>
      <c r="Z6" s="33" t="str">
        <f>IF(AND('Mapa final'!$AD$16="Muy Alta",'Mapa final'!$AF$16="Moderado"),CONCATENATE("R1C",'Mapa final'!$T$16),"")</f>
        <v/>
      </c>
      <c r="AA6" s="34" t="str">
        <f>IF(AND('Mapa final'!$AD$17="Muy Alta",'Mapa final'!$AF$17="Moderado"),CONCATENATE("R1C",'Mapa final'!$T$17),"")</f>
        <v/>
      </c>
      <c r="AB6" s="32" t="str">
        <f>IF(AND('Mapa final'!$AD$12="Muy Alta",'Mapa final'!$AF$12="Mayor"),CONCATENATE("R1C",'Mapa final'!$T$12),"")</f>
        <v/>
      </c>
      <c r="AC6" s="33" t="str">
        <f>IF(AND('Mapa final'!$AD$13="Muy Alta",'Mapa final'!$AF$13="Mayor"),CONCATENATE("R1C",'Mapa final'!$T$13),"")</f>
        <v/>
      </c>
      <c r="AD6" s="33" t="str">
        <f>IF(AND('Mapa final'!$AD$14="Muy Alta",'Mapa final'!$AF$14="Mayor"),CONCATENATE("R1C",'Mapa final'!$T$14),"")</f>
        <v/>
      </c>
      <c r="AE6" s="33" t="str">
        <f>IF(AND('Mapa final'!$AD$15="Muy Alta",'Mapa final'!$AF$15="Mayor"),CONCATENATE("R1C",'Mapa final'!$T$15),"")</f>
        <v/>
      </c>
      <c r="AF6" s="33" t="str">
        <f>IF(AND('Mapa final'!$AD$16="Muy Alta",'Mapa final'!$AF$16="Mayor"),CONCATENATE("R1C",'Mapa final'!$T$16),"")</f>
        <v/>
      </c>
      <c r="AG6" s="34" t="str">
        <f>IF(AND('Mapa final'!$AD$17="Muy Alta",'Mapa final'!$AF$17="Mayor"),CONCATENATE("R1C",'Mapa final'!$T$17),"")</f>
        <v/>
      </c>
      <c r="AH6" s="35" t="str">
        <f>IF(AND('Mapa final'!$AD$12="Muy Alta",'Mapa final'!$AF$12="Catastrófico"),CONCATENATE("R1C",'Mapa final'!$T$12),"")</f>
        <v/>
      </c>
      <c r="AI6" s="36" t="str">
        <f>IF(AND('Mapa final'!$AD$13="Muy Alta",'Mapa final'!$AF$13="Catastrófico"),CONCATENATE("R1C",'Mapa final'!$T$13),"")</f>
        <v/>
      </c>
      <c r="AJ6" s="36" t="str">
        <f>IF(AND('Mapa final'!$AD$14="Muy Alta",'Mapa final'!$AF$14="Catastrófico"),CONCATENATE("R1C",'Mapa final'!$T$14),"")</f>
        <v/>
      </c>
      <c r="AK6" s="36" t="str">
        <f>IF(AND('Mapa final'!$AD$15="Muy Alta",'Mapa final'!$AF$15="Catastrófico"),CONCATENATE("R1C",'Mapa final'!$T$15),"")</f>
        <v/>
      </c>
      <c r="AL6" s="36" t="str">
        <f>IF(AND('Mapa final'!$AD$16="Muy Alta",'Mapa final'!$AF$16="Catastrófico"),CONCATENATE("R1C",'Mapa final'!$T$16),"")</f>
        <v/>
      </c>
      <c r="AM6" s="37" t="str">
        <f>IF(AND('Mapa final'!$AD$17="Muy Alta",'Mapa final'!$AF$17="Catastrófico"),CONCATENATE("R1C",'Mapa final'!$T$17),"")</f>
        <v/>
      </c>
      <c r="AN6" s="69"/>
      <c r="AO6" s="534" t="s">
        <v>79</v>
      </c>
      <c r="AP6" s="535"/>
      <c r="AQ6" s="535"/>
      <c r="AR6" s="535"/>
      <c r="AS6" s="535"/>
      <c r="AT6" s="536"/>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row>
    <row r="7" spans="1:91" ht="15" customHeight="1" x14ac:dyDescent="0.25">
      <c r="A7" s="69"/>
      <c r="B7" s="432"/>
      <c r="C7" s="432"/>
      <c r="D7" s="433"/>
      <c r="E7" s="531"/>
      <c r="F7" s="530"/>
      <c r="G7" s="530"/>
      <c r="H7" s="530"/>
      <c r="I7" s="546"/>
      <c r="J7" s="38" t="str">
        <f>IF(AND('Mapa final'!$AD$18="Muy Alta",'Mapa final'!$AF$18="Leve"),CONCATENATE("R2C",'Mapa final'!$T$18),"")</f>
        <v/>
      </c>
      <c r="K7" s="39" t="str">
        <f>IF(AND('Mapa final'!$AD$19="Muy Alta",'Mapa final'!$AF$19="Leve"),CONCATENATE("R2C",'Mapa final'!$T$19),"")</f>
        <v/>
      </c>
      <c r="L7" s="39" t="str">
        <f>IF(AND('Mapa final'!$AD$20="Muy Alta",'Mapa final'!$AF$20="Leve"),CONCATENATE("R2C",'Mapa final'!$T$20),"")</f>
        <v/>
      </c>
      <c r="M7" s="39" t="str">
        <f>IF(AND('Mapa final'!$AD$21="Muy Alta",'Mapa final'!$AF$21="Leve"),CONCATENATE("R2C",'Mapa final'!$T$21),"")</f>
        <v/>
      </c>
      <c r="N7" s="39" t="str">
        <f>IF(AND('Mapa final'!$AD$22="Muy Alta",'Mapa final'!$AF$22="Leve"),CONCATENATE("R2C",'Mapa final'!$T$22),"")</f>
        <v/>
      </c>
      <c r="O7" s="40" t="str">
        <f>IF(AND('Mapa final'!$AD$23="Muy Alta",'Mapa final'!$AF$23="Leve"),CONCATENATE("R2C",'Mapa final'!$T$23),"")</f>
        <v/>
      </c>
      <c r="P7" s="38" t="str">
        <f>IF(AND('Mapa final'!$AD$18="Muy Alta",'Mapa final'!$AF$18="Menor"),CONCATENATE("R2C",'Mapa final'!$T$18),"")</f>
        <v/>
      </c>
      <c r="Q7" s="39" t="str">
        <f>IF(AND('Mapa final'!$AD$19="Muy Alta",'Mapa final'!$AF$19="Menor"),CONCATENATE("R2C",'Mapa final'!$T$19),"")</f>
        <v/>
      </c>
      <c r="R7" s="39" t="str">
        <f>IF(AND('Mapa final'!$AD$20="Muy Alta",'Mapa final'!$AF$20="Menor"),CONCATENATE("R2C",'Mapa final'!$T$20),"")</f>
        <v/>
      </c>
      <c r="S7" s="39" t="str">
        <f>IF(AND('Mapa final'!$AD$21="Muy Alta",'Mapa final'!$AF$21="Menor"),CONCATENATE("R2C",'Mapa final'!$T$21),"")</f>
        <v/>
      </c>
      <c r="T7" s="39" t="str">
        <f>IF(AND('Mapa final'!$AD$22="Muy Alta",'Mapa final'!$AF$22="Menor"),CONCATENATE("R2C",'Mapa final'!$T$22),"")</f>
        <v/>
      </c>
      <c r="U7" s="40" t="str">
        <f>IF(AND('Mapa final'!$AD$23="Muy Alta",'Mapa final'!$AF$23="Menor"),CONCATENATE("R2C",'Mapa final'!$T$23),"")</f>
        <v/>
      </c>
      <c r="V7" s="38" t="str">
        <f>IF(AND('Mapa final'!$AD$18="Muy Alta",'Mapa final'!$AF$18="Moderado"),CONCATENATE("R2C",'Mapa final'!$T$18),"")</f>
        <v/>
      </c>
      <c r="W7" s="39" t="str">
        <f>IF(AND('Mapa final'!$AD$19="Muy Alta",'Mapa final'!$AF$19="Moderado"),CONCATENATE("R2C",'Mapa final'!$T$19),"")</f>
        <v/>
      </c>
      <c r="X7" s="39" t="str">
        <f>IF(AND('Mapa final'!$AD$20="Muy Alta",'Mapa final'!$AF$20="Moderado"),CONCATENATE("R2C",'Mapa final'!$T$20),"")</f>
        <v/>
      </c>
      <c r="Y7" s="39" t="str">
        <f>IF(AND('Mapa final'!$AD$21="Muy Alta",'Mapa final'!$AF$21="Moderado"),CONCATENATE("R2C",'Mapa final'!$T$21),"")</f>
        <v/>
      </c>
      <c r="Z7" s="39" t="str">
        <f>IF(AND('Mapa final'!$AD$22="Muy Alta",'Mapa final'!$AF$22="Moderado"),CONCATENATE("R2C",'Mapa final'!$T$22),"")</f>
        <v/>
      </c>
      <c r="AA7" s="40" t="str">
        <f>IF(AND('Mapa final'!$AD$23="Muy Alta",'Mapa final'!$AF$23="Moderado"),CONCATENATE("R2C",'Mapa final'!$T$23),"")</f>
        <v/>
      </c>
      <c r="AB7" s="38" t="str">
        <f>IF(AND('Mapa final'!$AD$18="Muy Alta",'Mapa final'!$AF$18="Mayor"),CONCATENATE("R2C",'Mapa final'!$T$18),"")</f>
        <v/>
      </c>
      <c r="AC7" s="39" t="str">
        <f>IF(AND('Mapa final'!$AD$19="Muy Alta",'Mapa final'!$AF$19="Mayor"),CONCATENATE("R2C",'Mapa final'!$T$19),"")</f>
        <v/>
      </c>
      <c r="AD7" s="39" t="str">
        <f>IF(AND('Mapa final'!$AD$20="Muy Alta",'Mapa final'!$AF$20="Mayor"),CONCATENATE("R2C",'Mapa final'!$T$20),"")</f>
        <v/>
      </c>
      <c r="AE7" s="39" t="str">
        <f>IF(AND('Mapa final'!$AD$21="Muy Alta",'Mapa final'!$AF$21="Mayor"),CONCATENATE("R2C",'Mapa final'!$T$21),"")</f>
        <v/>
      </c>
      <c r="AF7" s="39" t="str">
        <f>IF(AND('Mapa final'!$AD$22="Muy Alta",'Mapa final'!$AF$22="Mayor"),CONCATENATE("R2C",'Mapa final'!$T$22),"")</f>
        <v/>
      </c>
      <c r="AG7" s="40" t="str">
        <f>IF(AND('Mapa final'!$AD$23="Muy Alta",'Mapa final'!$AF$23="Mayor"),CONCATENATE("R2C",'Mapa final'!$T$23),"")</f>
        <v/>
      </c>
      <c r="AH7" s="41" t="str">
        <f>IF(AND('Mapa final'!$AD$18="Muy Alta",'Mapa final'!$AF$18="Catastrófico"),CONCATENATE("R2C",'Mapa final'!$T$18),"")</f>
        <v/>
      </c>
      <c r="AI7" s="42" t="str">
        <f>IF(AND('Mapa final'!$AD$19="Muy Alta",'Mapa final'!$AF$19="Catastrófico"),CONCATENATE("R2C",'Mapa final'!$T$19),"")</f>
        <v/>
      </c>
      <c r="AJ7" s="42" t="str">
        <f>IF(AND('Mapa final'!$AD$20="Muy Alta",'Mapa final'!$AF$20="Catastrófico"),CONCATENATE("R2C",'Mapa final'!$T$20),"")</f>
        <v/>
      </c>
      <c r="AK7" s="42" t="str">
        <f>IF(AND('Mapa final'!$AD$21="Muy Alta",'Mapa final'!$AF$21="Catastrófico"),CONCATENATE("R2C",'Mapa final'!$T$21),"")</f>
        <v/>
      </c>
      <c r="AL7" s="42" t="str">
        <f>IF(AND('Mapa final'!$AD$22="Muy Alta",'Mapa final'!$AF$22="Catastrófico"),CONCATENATE("R2C",'Mapa final'!$T$22),"")</f>
        <v/>
      </c>
      <c r="AM7" s="43" t="str">
        <f>IF(AND('Mapa final'!$AD$23="Muy Alta",'Mapa final'!$AF$23="Catastrófico"),CONCATENATE("R2C",'Mapa final'!$T$23),"")</f>
        <v/>
      </c>
      <c r="AN7" s="69"/>
      <c r="AO7" s="537"/>
      <c r="AP7" s="538"/>
      <c r="AQ7" s="538"/>
      <c r="AR7" s="538"/>
      <c r="AS7" s="538"/>
      <c r="AT7" s="53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row>
    <row r="8" spans="1:91" ht="15" customHeight="1" x14ac:dyDescent="0.25">
      <c r="A8" s="69"/>
      <c r="B8" s="432"/>
      <c r="C8" s="432"/>
      <c r="D8" s="433"/>
      <c r="E8" s="531"/>
      <c r="F8" s="530"/>
      <c r="G8" s="530"/>
      <c r="H8" s="530"/>
      <c r="I8" s="546"/>
      <c r="J8" s="38" t="str">
        <f>IF(AND('Mapa final'!$AD$24="Muy Alta",'Mapa final'!$AF$24="Leve"),CONCATENATE("R3C",'Mapa final'!$T$24),"")</f>
        <v/>
      </c>
      <c r="K8" s="39" t="str">
        <f>IF(AND('Mapa final'!$AD$25="Muy Alta",'Mapa final'!$AF$25="Leve"),CONCATENATE("R3C",'Mapa final'!$T$25),"")</f>
        <v/>
      </c>
      <c r="L8" s="39" t="str">
        <f>IF(AND('Mapa final'!$AD$26="Muy Alta",'Mapa final'!$AF$26="Leve"),CONCATENATE("R3C",'Mapa final'!$T$26),"")</f>
        <v/>
      </c>
      <c r="M8" s="39" t="str">
        <f>IF(AND('Mapa final'!$AD$27="Muy Alta",'Mapa final'!$AF$27="Leve"),CONCATENATE("R3C",'Mapa final'!$T$27),"")</f>
        <v/>
      </c>
      <c r="N8" s="39" t="str">
        <f>IF(AND('Mapa final'!$AD$28="Muy Alta",'Mapa final'!$AF$28="Leve"),CONCATENATE("R3C",'Mapa final'!$T$28),"")</f>
        <v/>
      </c>
      <c r="O8" s="40" t="str">
        <f>IF(AND('Mapa final'!$AD$29="Muy Alta",'Mapa final'!$AF$29="Leve"),CONCATENATE("R3C",'Mapa final'!$T$29),"")</f>
        <v/>
      </c>
      <c r="P8" s="38" t="str">
        <f>IF(AND('Mapa final'!$AD$24="Muy Alta",'Mapa final'!$AF$24="Menor"),CONCATENATE("R3C",'Mapa final'!$T$24),"")</f>
        <v/>
      </c>
      <c r="Q8" s="39" t="str">
        <f>IF(AND('Mapa final'!$AD$25="Muy Alta",'Mapa final'!$AF$25="Menor"),CONCATENATE("R3C",'Mapa final'!$T$25),"")</f>
        <v/>
      </c>
      <c r="R8" s="39" t="str">
        <f>IF(AND('Mapa final'!$AD$26="Muy Alta",'Mapa final'!$AF$26="Menor"),CONCATENATE("R3C",'Mapa final'!$T$26),"")</f>
        <v/>
      </c>
      <c r="S8" s="39" t="str">
        <f>IF(AND('Mapa final'!$AD$27="Muy Alta",'Mapa final'!$AF$27="Menor"),CONCATENATE("R3C",'Mapa final'!$T$27),"")</f>
        <v/>
      </c>
      <c r="T8" s="39" t="str">
        <f>IF(AND('Mapa final'!$AD$28="Muy Alta",'Mapa final'!$AF$28="Menor"),CONCATENATE("R3C",'Mapa final'!$T$28),"")</f>
        <v/>
      </c>
      <c r="U8" s="40" t="str">
        <f>IF(AND('Mapa final'!$AD$29="Muy Alta",'Mapa final'!$AF$29="Menor"),CONCATENATE("R3C",'Mapa final'!$T$29),"")</f>
        <v/>
      </c>
      <c r="V8" s="38" t="str">
        <f>IF(AND('Mapa final'!$AD$24="Muy Alta",'Mapa final'!$AF$24="Moderado"),CONCATENATE("R3C",'Mapa final'!$T$24),"")</f>
        <v/>
      </c>
      <c r="W8" s="39" t="str">
        <f>IF(AND('Mapa final'!$AD$25="Muy Alta",'Mapa final'!$AF$25="Moderado"),CONCATENATE("R3C",'Mapa final'!$T$25),"")</f>
        <v/>
      </c>
      <c r="X8" s="39" t="str">
        <f>IF(AND('Mapa final'!$AD$26="Muy Alta",'Mapa final'!$AF$26="Moderado"),CONCATENATE("R3C",'Mapa final'!$T$26),"")</f>
        <v/>
      </c>
      <c r="Y8" s="39" t="str">
        <f>IF(AND('Mapa final'!$AD$27="Muy Alta",'Mapa final'!$AF$27="Moderado"),CONCATENATE("R3C",'Mapa final'!$T$27),"")</f>
        <v/>
      </c>
      <c r="Z8" s="39" t="str">
        <f>IF(AND('Mapa final'!$AD$28="Muy Alta",'Mapa final'!$AF$28="Moderado"),CONCATENATE("R3C",'Mapa final'!$T$28),"")</f>
        <v/>
      </c>
      <c r="AA8" s="40" t="str">
        <f>IF(AND('Mapa final'!$AD$29="Muy Alta",'Mapa final'!$AF$29="Moderado"),CONCATENATE("R3C",'Mapa final'!$T$29),"")</f>
        <v/>
      </c>
      <c r="AB8" s="38" t="str">
        <f>IF(AND('Mapa final'!$AD$24="Muy Alta",'Mapa final'!$AF$24="Mayor"),CONCATENATE("R3C",'Mapa final'!$T$24),"")</f>
        <v/>
      </c>
      <c r="AC8" s="39" t="str">
        <f>IF(AND('Mapa final'!$AD$25="Muy Alta",'Mapa final'!$AF$25="Mayor"),CONCATENATE("R3C",'Mapa final'!$T$25),"")</f>
        <v/>
      </c>
      <c r="AD8" s="39" t="str">
        <f>IF(AND('Mapa final'!$AD$26="Muy Alta",'Mapa final'!$AF$26="Mayor"),CONCATENATE("R3C",'Mapa final'!$T$26),"")</f>
        <v/>
      </c>
      <c r="AE8" s="39" t="str">
        <f>IF(AND('Mapa final'!$AD$27="Muy Alta",'Mapa final'!$AF$27="Mayor"),CONCATENATE("R3C",'Mapa final'!$T$27),"")</f>
        <v/>
      </c>
      <c r="AF8" s="39" t="str">
        <f>IF(AND('Mapa final'!$AD$28="Muy Alta",'Mapa final'!$AF$28="Mayor"),CONCATENATE("R3C",'Mapa final'!$T$28),"")</f>
        <v/>
      </c>
      <c r="AG8" s="40" t="str">
        <f>IF(AND('Mapa final'!$AD$29="Muy Alta",'Mapa final'!$AF$29="Mayor"),CONCATENATE("R3C",'Mapa final'!$T$29),"")</f>
        <v/>
      </c>
      <c r="AH8" s="41" t="str">
        <f>IF(AND('Mapa final'!$AD$24="Muy Alta",'Mapa final'!$AF$24="Catastrófico"),CONCATENATE("R3C",'Mapa final'!$T$24),"")</f>
        <v/>
      </c>
      <c r="AI8" s="42" t="str">
        <f>IF(AND('Mapa final'!$AD$25="Muy Alta",'Mapa final'!$AF$25="Catastrófico"),CONCATENATE("R3C",'Mapa final'!$T$25),"")</f>
        <v/>
      </c>
      <c r="AJ8" s="42" t="str">
        <f>IF(AND('Mapa final'!$AD$26="Muy Alta",'Mapa final'!$AF$26="Catastrófico"),CONCATENATE("R3C",'Mapa final'!$T$26),"")</f>
        <v/>
      </c>
      <c r="AK8" s="42" t="str">
        <f>IF(AND('Mapa final'!$AD$27="Muy Alta",'Mapa final'!$AF$27="Catastrófico"),CONCATENATE("R3C",'Mapa final'!$T$27),"")</f>
        <v/>
      </c>
      <c r="AL8" s="42" t="str">
        <f>IF(AND('Mapa final'!$AD$28="Muy Alta",'Mapa final'!$AF$28="Catastrófico"),CONCATENATE("R3C",'Mapa final'!$T$28),"")</f>
        <v/>
      </c>
      <c r="AM8" s="43" t="str">
        <f>IF(AND('Mapa final'!$AD$29="Muy Alta",'Mapa final'!$AF$29="Catastrófico"),CONCATENATE("R3C",'Mapa final'!$T$29),"")</f>
        <v/>
      </c>
      <c r="AN8" s="69"/>
      <c r="AO8" s="537"/>
      <c r="AP8" s="538"/>
      <c r="AQ8" s="538"/>
      <c r="AR8" s="538"/>
      <c r="AS8" s="538"/>
      <c r="AT8" s="53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row>
    <row r="9" spans="1:91" ht="15" customHeight="1" x14ac:dyDescent="0.25">
      <c r="A9" s="69"/>
      <c r="B9" s="432"/>
      <c r="C9" s="432"/>
      <c r="D9" s="433"/>
      <c r="E9" s="531"/>
      <c r="F9" s="530"/>
      <c r="G9" s="530"/>
      <c r="H9" s="530"/>
      <c r="I9" s="546"/>
      <c r="J9" s="38" t="str">
        <f>IF(AND('Mapa final'!$AD$30="Muy Alta",'Mapa final'!$AF$30="Leve"),CONCATENATE("R4C",'Mapa final'!$T$30),"")</f>
        <v/>
      </c>
      <c r="K9" s="39" t="str">
        <f>IF(AND('Mapa final'!$AD$31="Muy Alta",'Mapa final'!$AF$31="Leve"),CONCATENATE("R4C",'Mapa final'!$T$31),"")</f>
        <v/>
      </c>
      <c r="L9" s="39" t="str">
        <f>IF(AND('Mapa final'!$AD$32="Muy Alta",'Mapa final'!$AF$32="Leve"),CONCATENATE("R4C",'Mapa final'!$T$32),"")</f>
        <v/>
      </c>
      <c r="M9" s="39" t="str">
        <f>IF(AND('Mapa final'!$AD$33="Muy Alta",'Mapa final'!$AF$33="Leve"),CONCATENATE("R4C",'Mapa final'!$T$33),"")</f>
        <v/>
      </c>
      <c r="N9" s="39" t="str">
        <f>IF(AND('Mapa final'!$AD$34="Muy Alta",'Mapa final'!$AF$34="Leve"),CONCATENATE("R4C",'Mapa final'!$T$34),"")</f>
        <v/>
      </c>
      <c r="O9" s="40" t="str">
        <f>IF(AND('Mapa final'!$AD$35="Muy Alta",'Mapa final'!$AF$35="Leve"),CONCATENATE("R4C",'Mapa final'!$T$35),"")</f>
        <v/>
      </c>
      <c r="P9" s="38" t="str">
        <f>IF(AND('Mapa final'!$AD$30="Muy Alta",'Mapa final'!$AF$30="Menor"),CONCATENATE("R4C",'Mapa final'!$T$30),"")</f>
        <v/>
      </c>
      <c r="Q9" s="39" t="str">
        <f>IF(AND('Mapa final'!$AD$31="Muy Alta",'Mapa final'!$AF$31="Menor"),CONCATENATE("R4C",'Mapa final'!$T$31),"")</f>
        <v/>
      </c>
      <c r="R9" s="39" t="str">
        <f>IF(AND('Mapa final'!$AD$32="Muy Alta",'Mapa final'!$AF$32="Menor"),CONCATENATE("R4C",'Mapa final'!$T$32),"")</f>
        <v/>
      </c>
      <c r="S9" s="39" t="str">
        <f>IF(AND('Mapa final'!$AD$33="Muy Alta",'Mapa final'!$AF$33="Menor"),CONCATENATE("R4C",'Mapa final'!$T$33),"")</f>
        <v/>
      </c>
      <c r="T9" s="39" t="str">
        <f>IF(AND('Mapa final'!$AD$34="Muy Alta",'Mapa final'!$AF$34="Menor"),CONCATENATE("R4C",'Mapa final'!$T$34),"")</f>
        <v/>
      </c>
      <c r="U9" s="40" t="str">
        <f>IF(AND('Mapa final'!$AD$35="Muy Alta",'Mapa final'!$AF$35="Menor"),CONCATENATE("R4C",'Mapa final'!$T$35),"")</f>
        <v/>
      </c>
      <c r="V9" s="38" t="str">
        <f>IF(AND('Mapa final'!$AD$30="Muy Alta",'Mapa final'!$AF$30="Moderado"),CONCATENATE("R4C",'Mapa final'!$T$30),"")</f>
        <v/>
      </c>
      <c r="W9" s="39" t="str">
        <f>IF(AND('Mapa final'!$AD$31="Muy Alta",'Mapa final'!$AF$31="Moderado"),CONCATENATE("R4C",'Mapa final'!$T$31),"")</f>
        <v/>
      </c>
      <c r="X9" s="39" t="str">
        <f>IF(AND('Mapa final'!$AD$32="Muy Alta",'Mapa final'!$AF$32="Moderado"),CONCATENATE("R4C",'Mapa final'!$T$32),"")</f>
        <v/>
      </c>
      <c r="Y9" s="39" t="str">
        <f>IF(AND('Mapa final'!$AD$33="Muy Alta",'Mapa final'!$AF$33="Moderado"),CONCATENATE("R4C",'Mapa final'!$T$33),"")</f>
        <v/>
      </c>
      <c r="Z9" s="39" t="str">
        <f>IF(AND('Mapa final'!$AD$34="Muy Alta",'Mapa final'!$AF$34="Moderado"),CONCATENATE("R4C",'Mapa final'!$T$34),"")</f>
        <v/>
      </c>
      <c r="AA9" s="40" t="str">
        <f>IF(AND('Mapa final'!$AD$35="Muy Alta",'Mapa final'!$AF$35="Moderado"),CONCATENATE("R4C",'Mapa final'!$T$35),"")</f>
        <v/>
      </c>
      <c r="AB9" s="38" t="str">
        <f>IF(AND('Mapa final'!$AD$30="Muy Alta",'Mapa final'!$AF$30="Mayor"),CONCATENATE("R4C",'Mapa final'!$T$30),"")</f>
        <v/>
      </c>
      <c r="AC9" s="39" t="str">
        <f>IF(AND('Mapa final'!$AD$31="Muy Alta",'Mapa final'!$AF$31="Mayor"),CONCATENATE("R4C",'Mapa final'!$T$31),"")</f>
        <v/>
      </c>
      <c r="AD9" s="39" t="str">
        <f>IF(AND('Mapa final'!$AD$32="Muy Alta",'Mapa final'!$AF$32="Mayor"),CONCATENATE("R4C",'Mapa final'!$T$32),"")</f>
        <v/>
      </c>
      <c r="AE9" s="39" t="str">
        <f>IF(AND('Mapa final'!$AD$33="Muy Alta",'Mapa final'!$AF$33="Mayor"),CONCATENATE("R4C",'Mapa final'!$T$33),"")</f>
        <v/>
      </c>
      <c r="AF9" s="39" t="str">
        <f>IF(AND('Mapa final'!$AD$34="Muy Alta",'Mapa final'!$AF$34="Mayor"),CONCATENATE("R4C",'Mapa final'!$T$34),"")</f>
        <v/>
      </c>
      <c r="AG9" s="40" t="str">
        <f>IF(AND('Mapa final'!$AD$35="Muy Alta",'Mapa final'!$AF$35="Mayor"),CONCATENATE("R4C",'Mapa final'!$T$35),"")</f>
        <v/>
      </c>
      <c r="AH9" s="41" t="str">
        <f>IF(AND('Mapa final'!$AD$30="Muy Alta",'Mapa final'!$AF$30="Catastrófico"),CONCATENATE("R4C",'Mapa final'!$T$30),"")</f>
        <v/>
      </c>
      <c r="AI9" s="42" t="str">
        <f>IF(AND('Mapa final'!$AD$31="Muy Alta",'Mapa final'!$AF$31="Catastrófico"),CONCATENATE("R4C",'Mapa final'!$T$31),"")</f>
        <v/>
      </c>
      <c r="AJ9" s="42" t="str">
        <f>IF(AND('Mapa final'!$AD$32="Muy Alta",'Mapa final'!$AF$32="Catastrófico"),CONCATENATE("R4C",'Mapa final'!$T$32),"")</f>
        <v/>
      </c>
      <c r="AK9" s="42" t="str">
        <f>IF(AND('Mapa final'!$AD$33="Muy Alta",'Mapa final'!$AF$33="Catastrófico"),CONCATENATE("R4C",'Mapa final'!$T$33),"")</f>
        <v/>
      </c>
      <c r="AL9" s="42" t="str">
        <f>IF(AND('Mapa final'!$AD$34="Muy Alta",'Mapa final'!$AF$34="Catastrófico"),CONCATENATE("R4C",'Mapa final'!$T$34),"")</f>
        <v/>
      </c>
      <c r="AM9" s="43" t="str">
        <f>IF(AND('Mapa final'!$AD$35="Muy Alta",'Mapa final'!$AF$35="Catastrófico"),CONCATENATE("R4C",'Mapa final'!$T$35),"")</f>
        <v/>
      </c>
      <c r="AN9" s="69"/>
      <c r="AO9" s="537"/>
      <c r="AP9" s="538"/>
      <c r="AQ9" s="538"/>
      <c r="AR9" s="538"/>
      <c r="AS9" s="538"/>
      <c r="AT9" s="53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row>
    <row r="10" spans="1:91" ht="15" customHeight="1" x14ac:dyDescent="0.25">
      <c r="A10" s="69"/>
      <c r="B10" s="432"/>
      <c r="C10" s="432"/>
      <c r="D10" s="433"/>
      <c r="E10" s="531"/>
      <c r="F10" s="530"/>
      <c r="G10" s="530"/>
      <c r="H10" s="530"/>
      <c r="I10" s="546"/>
      <c r="J10" s="38" t="str">
        <f>IF(AND('Mapa final'!$AD$36="Muy Alta",'Mapa final'!$AF$36="Leve"),CONCATENATE("R5C",'Mapa final'!$T$36),"")</f>
        <v/>
      </c>
      <c r="K10" s="39" t="str">
        <f>IF(AND('Mapa final'!$AD$37="Muy Alta",'Mapa final'!$AF$37="Leve"),CONCATENATE("R5C",'Mapa final'!$T$37),"")</f>
        <v/>
      </c>
      <c r="L10" s="39" t="str">
        <f>IF(AND('Mapa final'!$AD$38="Muy Alta",'Mapa final'!$AF$38="Leve"),CONCATENATE("R5C",'Mapa final'!$T$38),"")</f>
        <v/>
      </c>
      <c r="M10" s="39" t="str">
        <f>IF(AND('Mapa final'!$AD$39="Muy Alta",'Mapa final'!$AF$39="Leve"),CONCATENATE("R5C",'Mapa final'!$T$39),"")</f>
        <v/>
      </c>
      <c r="N10" s="39" t="str">
        <f>IF(AND('Mapa final'!$AD$40="Muy Alta",'Mapa final'!$AF$40="Leve"),CONCATENATE("R5C",'Mapa final'!$T$40),"")</f>
        <v/>
      </c>
      <c r="O10" s="40" t="str">
        <f>IF(AND('Mapa final'!$AD$41="Muy Alta",'Mapa final'!$AF$41="Leve"),CONCATENATE("R5C",'Mapa final'!$T$41),"")</f>
        <v/>
      </c>
      <c r="P10" s="38" t="str">
        <f>IF(AND('Mapa final'!$AD$36="Muy Alta",'Mapa final'!$AF$36="Menor"),CONCATENATE("R5C",'Mapa final'!$T$36),"")</f>
        <v/>
      </c>
      <c r="Q10" s="39" t="str">
        <f>IF(AND('Mapa final'!$AD$37="Muy Alta",'Mapa final'!$AF$37="Menor"),CONCATENATE("R5C",'Mapa final'!$T$37),"")</f>
        <v/>
      </c>
      <c r="R10" s="39" t="str">
        <f>IF(AND('Mapa final'!$AD$38="Muy Alta",'Mapa final'!$AF$38="Menor"),CONCATENATE("R5C",'Mapa final'!$T$38),"")</f>
        <v/>
      </c>
      <c r="S10" s="39" t="str">
        <f>IF(AND('Mapa final'!$AD$39="Muy Alta",'Mapa final'!$AF$39="Menor"),CONCATENATE("R5C",'Mapa final'!$T$39),"")</f>
        <v/>
      </c>
      <c r="T10" s="39" t="str">
        <f>IF(AND('Mapa final'!$AD$40="Muy Alta",'Mapa final'!$AF$40="Menor"),CONCATENATE("R5C",'Mapa final'!$T$40),"")</f>
        <v/>
      </c>
      <c r="U10" s="40" t="str">
        <f>IF(AND('Mapa final'!$AD$41="Muy Alta",'Mapa final'!$AF$41="Menor"),CONCATENATE("R5C",'Mapa final'!$T$41),"")</f>
        <v/>
      </c>
      <c r="V10" s="38" t="str">
        <f>IF(AND('Mapa final'!$AD$36="Muy Alta",'Mapa final'!$AF$36="Moderado"),CONCATENATE("R5C",'Mapa final'!$T$36),"")</f>
        <v/>
      </c>
      <c r="W10" s="39" t="str">
        <f>IF(AND('Mapa final'!$AD$37="Muy Alta",'Mapa final'!$AF$37="Moderado"),CONCATENATE("R5C",'Mapa final'!$T$37),"")</f>
        <v/>
      </c>
      <c r="X10" s="39" t="str">
        <f>IF(AND('Mapa final'!$AD$38="Muy Alta",'Mapa final'!$AF$38="Moderado"),CONCATENATE("R5C",'Mapa final'!$T$38),"")</f>
        <v/>
      </c>
      <c r="Y10" s="39" t="str">
        <f>IF(AND('Mapa final'!$AD$39="Muy Alta",'Mapa final'!$AF$39="Moderado"),CONCATENATE("R5C",'Mapa final'!$T$39),"")</f>
        <v/>
      </c>
      <c r="Z10" s="39" t="str">
        <f>IF(AND('Mapa final'!$AD$40="Muy Alta",'Mapa final'!$AF$40="Moderado"),CONCATENATE("R5C",'Mapa final'!$T$40),"")</f>
        <v/>
      </c>
      <c r="AA10" s="40" t="str">
        <f>IF(AND('Mapa final'!$AD$41="Muy Alta",'Mapa final'!$AF$41="Moderado"),CONCATENATE("R5C",'Mapa final'!$T$41),"")</f>
        <v/>
      </c>
      <c r="AB10" s="38" t="str">
        <f>IF(AND('Mapa final'!$AD$36="Muy Alta",'Mapa final'!$AF$36="Mayor"),CONCATENATE("R5C",'Mapa final'!$T$36),"")</f>
        <v/>
      </c>
      <c r="AC10" s="39" t="str">
        <f>IF(AND('Mapa final'!$AD$37="Muy Alta",'Mapa final'!$AF$37="Mayor"),CONCATENATE("R5C",'Mapa final'!$T$37),"")</f>
        <v/>
      </c>
      <c r="AD10" s="39" t="str">
        <f>IF(AND('Mapa final'!$AD$38="Muy Alta",'Mapa final'!$AF$38="Mayor"),CONCATENATE("R5C",'Mapa final'!$T$38),"")</f>
        <v/>
      </c>
      <c r="AE10" s="39" t="str">
        <f>IF(AND('Mapa final'!$AD$39="Muy Alta",'Mapa final'!$AF$39="Mayor"),CONCATENATE("R5C",'Mapa final'!$T$39),"")</f>
        <v/>
      </c>
      <c r="AF10" s="39" t="str">
        <f>IF(AND('Mapa final'!$AD$40="Muy Alta",'Mapa final'!$AF$40="Mayor"),CONCATENATE("R5C",'Mapa final'!$T$40),"")</f>
        <v/>
      </c>
      <c r="AG10" s="40" t="str">
        <f>IF(AND('Mapa final'!$AD$41="Muy Alta",'Mapa final'!$AF$41="Mayor"),CONCATENATE("R5C",'Mapa final'!$T$41),"")</f>
        <v/>
      </c>
      <c r="AH10" s="41" t="str">
        <f>IF(AND('Mapa final'!$AD$36="Muy Alta",'Mapa final'!$AF$36="Catastrófico"),CONCATENATE("R5C",'Mapa final'!$T$36),"")</f>
        <v/>
      </c>
      <c r="AI10" s="42" t="str">
        <f>IF(AND('Mapa final'!$AD$37="Muy Alta",'Mapa final'!$AF$37="Catastrófico"),CONCATENATE("R5C",'Mapa final'!$T$37),"")</f>
        <v/>
      </c>
      <c r="AJ10" s="42" t="str">
        <f>IF(AND('Mapa final'!$AD$38="Muy Alta",'Mapa final'!$AF$38="Catastrófico"),CONCATENATE("R5C",'Mapa final'!$T$38),"")</f>
        <v/>
      </c>
      <c r="AK10" s="42" t="str">
        <f>IF(AND('Mapa final'!$AD$39="Muy Alta",'Mapa final'!$AF$39="Catastrófico"),CONCATENATE("R5C",'Mapa final'!$T$39),"")</f>
        <v/>
      </c>
      <c r="AL10" s="42" t="str">
        <f>IF(AND('Mapa final'!$AD$40="Muy Alta",'Mapa final'!$AF$40="Catastrófico"),CONCATENATE("R5C",'Mapa final'!$T$40),"")</f>
        <v/>
      </c>
      <c r="AM10" s="43" t="str">
        <f>IF(AND('Mapa final'!$AD$41="Muy Alta",'Mapa final'!$AF$41="Catastrófico"),CONCATENATE("R5C",'Mapa final'!$T$41),"")</f>
        <v/>
      </c>
      <c r="AN10" s="69"/>
      <c r="AO10" s="537"/>
      <c r="AP10" s="538"/>
      <c r="AQ10" s="538"/>
      <c r="AR10" s="538"/>
      <c r="AS10" s="538"/>
      <c r="AT10" s="53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row>
    <row r="11" spans="1:91" ht="15" customHeight="1" x14ac:dyDescent="0.25">
      <c r="A11" s="69"/>
      <c r="B11" s="432"/>
      <c r="C11" s="432"/>
      <c r="D11" s="433"/>
      <c r="E11" s="531"/>
      <c r="F11" s="530"/>
      <c r="G11" s="530"/>
      <c r="H11" s="530"/>
      <c r="I11" s="546"/>
      <c r="J11" s="38" t="str">
        <f>IF(AND('Mapa final'!$AD$42="Muy Alta",'Mapa final'!$AF$42="Leve"),CONCATENATE("R6C",'Mapa final'!$T$42),"")</f>
        <v/>
      </c>
      <c r="K11" s="39" t="str">
        <f>IF(AND('Mapa final'!$AD$43="Muy Alta",'Mapa final'!$AF$43="Leve"),CONCATENATE("R6C",'Mapa final'!$T$43),"")</f>
        <v/>
      </c>
      <c r="L11" s="39" t="str">
        <f>IF(AND('Mapa final'!$AD$44="Muy Alta",'Mapa final'!$AF$44="Leve"),CONCATENATE("R6C",'Mapa final'!$T$44),"")</f>
        <v/>
      </c>
      <c r="M11" s="39" t="str">
        <f>IF(AND('Mapa final'!$AD$45="Muy Alta",'Mapa final'!$AF$45="Leve"),CONCATENATE("R6C",'Mapa final'!$T$45),"")</f>
        <v/>
      </c>
      <c r="N11" s="39" t="str">
        <f>IF(AND('Mapa final'!$AD$46="Muy Alta",'Mapa final'!$AF$46="Leve"),CONCATENATE("R6C",'Mapa final'!$T$46),"")</f>
        <v/>
      </c>
      <c r="O11" s="40" t="str">
        <f>IF(AND('Mapa final'!$AD$47="Muy Alta",'Mapa final'!$AF$47="Leve"),CONCATENATE("R6C",'Mapa final'!$T$47),"")</f>
        <v/>
      </c>
      <c r="P11" s="38" t="str">
        <f>IF(AND('Mapa final'!$AD$42="Muy Alta",'Mapa final'!$AF$42="Menor"),CONCATENATE("R6C",'Mapa final'!$T$42),"")</f>
        <v/>
      </c>
      <c r="Q11" s="39" t="str">
        <f>IF(AND('Mapa final'!$AD$43="Muy Alta",'Mapa final'!$AF$43="Menor"),CONCATENATE("R6C",'Mapa final'!$T$43),"")</f>
        <v/>
      </c>
      <c r="R11" s="39" t="str">
        <f>IF(AND('Mapa final'!$AD$44="Muy Alta",'Mapa final'!$AF$44="Menor"),CONCATENATE("R6C",'Mapa final'!$T$44),"")</f>
        <v/>
      </c>
      <c r="S11" s="39" t="str">
        <f>IF(AND('Mapa final'!$AD$45="Muy Alta",'Mapa final'!$AF$45="Menor"),CONCATENATE("R6C",'Mapa final'!$T$45),"")</f>
        <v/>
      </c>
      <c r="T11" s="39" t="str">
        <f>IF(AND('Mapa final'!$AD$46="Muy Alta",'Mapa final'!$AF$46="Menor"),CONCATENATE("R6C",'Mapa final'!$T$46),"")</f>
        <v/>
      </c>
      <c r="U11" s="40" t="str">
        <f>IF(AND('Mapa final'!$AD$47="Muy Alta",'Mapa final'!$AF$47="Menor"),CONCATENATE("R6C",'Mapa final'!$T$47),"")</f>
        <v/>
      </c>
      <c r="V11" s="38" t="str">
        <f>IF(AND('Mapa final'!$AD$42="Muy Alta",'Mapa final'!$AF$42="Moderado"),CONCATENATE("R6C",'Mapa final'!$T$42),"")</f>
        <v/>
      </c>
      <c r="W11" s="39" t="str">
        <f>IF(AND('Mapa final'!$AD$43="Muy Alta",'Mapa final'!$AF$43="Moderado"),CONCATENATE("R6C",'Mapa final'!$T$43),"")</f>
        <v/>
      </c>
      <c r="X11" s="39" t="str">
        <f>IF(AND('Mapa final'!$AD$44="Muy Alta",'Mapa final'!$AF$44="Moderado"),CONCATENATE("R6C",'Mapa final'!$T$44),"")</f>
        <v/>
      </c>
      <c r="Y11" s="39" t="str">
        <f>IF(AND('Mapa final'!$AD$45="Muy Alta",'Mapa final'!$AF$45="Moderado"),CONCATENATE("R6C",'Mapa final'!$T$45),"")</f>
        <v/>
      </c>
      <c r="Z11" s="39" t="str">
        <f>IF(AND('Mapa final'!$AD$46="Muy Alta",'Mapa final'!$AF$46="Moderado"),CONCATENATE("R6C",'Mapa final'!$T$46),"")</f>
        <v/>
      </c>
      <c r="AA11" s="40" t="str">
        <f>IF(AND('Mapa final'!$AD$47="Muy Alta",'Mapa final'!$AF$47="Moderado"),CONCATENATE("R6C",'Mapa final'!$T$47),"")</f>
        <v/>
      </c>
      <c r="AB11" s="38" t="str">
        <f>IF(AND('Mapa final'!$AD$42="Muy Alta",'Mapa final'!$AF$42="Mayor"),CONCATENATE("R6C",'Mapa final'!$T$42),"")</f>
        <v/>
      </c>
      <c r="AC11" s="39" t="str">
        <f>IF(AND('Mapa final'!$AD$43="Muy Alta",'Mapa final'!$AF$43="Mayor"),CONCATENATE("R6C",'Mapa final'!$T$43),"")</f>
        <v/>
      </c>
      <c r="AD11" s="39" t="str">
        <f>IF(AND('Mapa final'!$AD$44="Muy Alta",'Mapa final'!$AF$44="Mayor"),CONCATENATE("R6C",'Mapa final'!$T$44),"")</f>
        <v/>
      </c>
      <c r="AE11" s="39" t="str">
        <f>IF(AND('Mapa final'!$AD$45="Muy Alta",'Mapa final'!$AF$45="Mayor"),CONCATENATE("R6C",'Mapa final'!$T$45),"")</f>
        <v/>
      </c>
      <c r="AF11" s="39" t="str">
        <f>IF(AND('Mapa final'!$AD$46="Muy Alta",'Mapa final'!$AF$46="Mayor"),CONCATENATE("R6C",'Mapa final'!$T$46),"")</f>
        <v/>
      </c>
      <c r="AG11" s="40" t="str">
        <f>IF(AND('Mapa final'!$AD$47="Muy Alta",'Mapa final'!$AF$47="Mayor"),CONCATENATE("R6C",'Mapa final'!$T$47),"")</f>
        <v/>
      </c>
      <c r="AH11" s="41" t="str">
        <f>IF(AND('Mapa final'!$AD$42="Muy Alta",'Mapa final'!$AF$42="Catastrófico"),CONCATENATE("R6C",'Mapa final'!$T$42),"")</f>
        <v/>
      </c>
      <c r="AI11" s="42" t="str">
        <f>IF(AND('Mapa final'!$AD$43="Muy Alta",'Mapa final'!$AF$43="Catastrófico"),CONCATENATE("R6C",'Mapa final'!$T$43),"")</f>
        <v/>
      </c>
      <c r="AJ11" s="42" t="str">
        <f>IF(AND('Mapa final'!$AD$44="Muy Alta",'Mapa final'!$AF$44="Catastrófico"),CONCATENATE("R6C",'Mapa final'!$T$44),"")</f>
        <v/>
      </c>
      <c r="AK11" s="42" t="str">
        <f>IF(AND('Mapa final'!$AD$45="Muy Alta",'Mapa final'!$AF$45="Catastrófico"),CONCATENATE("R6C",'Mapa final'!$T$45),"")</f>
        <v/>
      </c>
      <c r="AL11" s="42" t="str">
        <f>IF(AND('Mapa final'!$AD$46="Muy Alta",'Mapa final'!$AF$46="Catastrófico"),CONCATENATE("R6C",'Mapa final'!$T$46),"")</f>
        <v/>
      </c>
      <c r="AM11" s="43" t="str">
        <f>IF(AND('Mapa final'!$AD$47="Muy Alta",'Mapa final'!$AF$47="Catastrófico"),CONCATENATE("R6C",'Mapa final'!$T$47),"")</f>
        <v/>
      </c>
      <c r="AN11" s="69"/>
      <c r="AO11" s="537"/>
      <c r="AP11" s="538"/>
      <c r="AQ11" s="538"/>
      <c r="AR11" s="538"/>
      <c r="AS11" s="538"/>
      <c r="AT11" s="53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row>
    <row r="12" spans="1:91" ht="15" customHeight="1" x14ac:dyDescent="0.25">
      <c r="A12" s="69"/>
      <c r="B12" s="432"/>
      <c r="C12" s="432"/>
      <c r="D12" s="433"/>
      <c r="E12" s="531"/>
      <c r="F12" s="530"/>
      <c r="G12" s="530"/>
      <c r="H12" s="530"/>
      <c r="I12" s="546"/>
      <c r="J12" s="38" t="str">
        <f>IF(AND('Mapa final'!$AD$48="Muy Alta",'Mapa final'!$AF$48="Leve"),CONCATENATE("R7C",'Mapa final'!$T$48),"")</f>
        <v/>
      </c>
      <c r="K12" s="39" t="str">
        <f>IF(AND('Mapa final'!$AD$49="Muy Alta",'Mapa final'!$AF$49="Leve"),CONCATENATE("R7C",'Mapa final'!$T$49),"")</f>
        <v/>
      </c>
      <c r="L12" s="39" t="str">
        <f>IF(AND('Mapa final'!$AD$50="Muy Alta",'Mapa final'!$AF$50="Leve"),CONCATENATE("R7C",'Mapa final'!$T$50),"")</f>
        <v/>
      </c>
      <c r="M12" s="39" t="str">
        <f>IF(AND('Mapa final'!$AD$51="Muy Alta",'Mapa final'!$AF$51="Leve"),CONCATENATE("R7C",'Mapa final'!$T$51),"")</f>
        <v/>
      </c>
      <c r="N12" s="39" t="str">
        <f>IF(AND('Mapa final'!$AD$52="Muy Alta",'Mapa final'!$AF$52="Leve"),CONCATENATE("R7C",'Mapa final'!$T$52),"")</f>
        <v/>
      </c>
      <c r="O12" s="40" t="str">
        <f>IF(AND('Mapa final'!$AD$53="Muy Alta",'Mapa final'!$AF$53="Leve"),CONCATENATE("R7C",'Mapa final'!$T$53),"")</f>
        <v/>
      </c>
      <c r="P12" s="38" t="str">
        <f>IF(AND('Mapa final'!$AD$48="Muy Alta",'Mapa final'!$AF$48="Menor"),CONCATENATE("R7C",'Mapa final'!$T$48),"")</f>
        <v/>
      </c>
      <c r="Q12" s="39" t="str">
        <f>IF(AND('Mapa final'!$AD$49="Muy Alta",'Mapa final'!$AF$49="Menor"),CONCATENATE("R7C",'Mapa final'!$T$49),"")</f>
        <v/>
      </c>
      <c r="R12" s="39" t="str">
        <f>IF(AND('Mapa final'!$AD$50="Muy Alta",'Mapa final'!$AF$50="Menor"),CONCATENATE("R7C",'Mapa final'!$T$50),"")</f>
        <v/>
      </c>
      <c r="S12" s="39" t="str">
        <f>IF(AND('Mapa final'!$AD$51="Muy Alta",'Mapa final'!$AF$51="Menor"),CONCATENATE("R7C",'Mapa final'!$T$51),"")</f>
        <v/>
      </c>
      <c r="T12" s="39" t="str">
        <f>IF(AND('Mapa final'!$AD$52="Muy Alta",'Mapa final'!$AF$52="Menor"),CONCATENATE("R7C",'Mapa final'!$T$52),"")</f>
        <v/>
      </c>
      <c r="U12" s="40" t="str">
        <f>IF(AND('Mapa final'!$AD$53="Muy Alta",'Mapa final'!$AF$53="Menor"),CONCATENATE("R7C",'Mapa final'!$T$53),"")</f>
        <v/>
      </c>
      <c r="V12" s="38" t="str">
        <f>IF(AND('Mapa final'!$AD$48="Muy Alta",'Mapa final'!$AF$48="Moderado"),CONCATENATE("R7C",'Mapa final'!$T$48),"")</f>
        <v/>
      </c>
      <c r="W12" s="39" t="str">
        <f>IF(AND('Mapa final'!$AD$49="Muy Alta",'Mapa final'!$AF$49="Moderado"),CONCATENATE("R7C",'Mapa final'!$T$49),"")</f>
        <v/>
      </c>
      <c r="X12" s="39" t="str">
        <f>IF(AND('Mapa final'!$AD$50="Muy Alta",'Mapa final'!$AF$50="Moderado"),CONCATENATE("R7C",'Mapa final'!$T$50),"")</f>
        <v/>
      </c>
      <c r="Y12" s="39" t="str">
        <f>IF(AND('Mapa final'!$AD$51="Muy Alta",'Mapa final'!$AF$51="Moderado"),CONCATENATE("R7C",'Mapa final'!$T$51),"")</f>
        <v/>
      </c>
      <c r="Z12" s="39" t="str">
        <f>IF(AND('Mapa final'!$AD$52="Muy Alta",'Mapa final'!$AF$52="Moderado"),CONCATENATE("R7C",'Mapa final'!$T$52),"")</f>
        <v/>
      </c>
      <c r="AA12" s="40" t="str">
        <f>IF(AND('Mapa final'!$AD$53="Muy Alta",'Mapa final'!$AF$53="Moderado"),CONCATENATE("R7C",'Mapa final'!$T$53),"")</f>
        <v/>
      </c>
      <c r="AB12" s="38" t="str">
        <f>IF(AND('Mapa final'!$AD$48="Muy Alta",'Mapa final'!$AF$48="Mayor"),CONCATENATE("R7C",'Mapa final'!$T$48),"")</f>
        <v/>
      </c>
      <c r="AC12" s="39" t="str">
        <f>IF(AND('Mapa final'!$AD$49="Muy Alta",'Mapa final'!$AF$49="Mayor"),CONCATENATE("R7C",'Mapa final'!$T$49),"")</f>
        <v/>
      </c>
      <c r="AD12" s="39" t="str">
        <f>IF(AND('Mapa final'!$AD$50="Muy Alta",'Mapa final'!$AF$50="Mayor"),CONCATENATE("R7C",'Mapa final'!$T$50),"")</f>
        <v/>
      </c>
      <c r="AE12" s="39" t="str">
        <f>IF(AND('Mapa final'!$AD$51="Muy Alta",'Mapa final'!$AF$51="Mayor"),CONCATENATE("R7C",'Mapa final'!$T$51),"")</f>
        <v/>
      </c>
      <c r="AF12" s="39" t="str">
        <f>IF(AND('Mapa final'!$AD$52="Muy Alta",'Mapa final'!$AF$52="Mayor"),CONCATENATE("R7C",'Mapa final'!$T$52),"")</f>
        <v/>
      </c>
      <c r="AG12" s="40" t="str">
        <f>IF(AND('Mapa final'!$AD$53="Muy Alta",'Mapa final'!$AF$53="Mayor"),CONCATENATE("R7C",'Mapa final'!$T$53),"")</f>
        <v/>
      </c>
      <c r="AH12" s="41" t="str">
        <f>IF(AND('Mapa final'!$AD$48="Muy Alta",'Mapa final'!$AF$48="Catastrófico"),CONCATENATE("R7C",'Mapa final'!$T$48),"")</f>
        <v/>
      </c>
      <c r="AI12" s="42" t="str">
        <f>IF(AND('Mapa final'!$AD$49="Muy Alta",'Mapa final'!$AF$49="Catastrófico"),CONCATENATE("R7C",'Mapa final'!$T$49),"")</f>
        <v/>
      </c>
      <c r="AJ12" s="42" t="str">
        <f>IF(AND('Mapa final'!$AD$50="Muy Alta",'Mapa final'!$AF$50="Catastrófico"),CONCATENATE("R7C",'Mapa final'!$T$50),"")</f>
        <v/>
      </c>
      <c r="AK12" s="42" t="str">
        <f>IF(AND('Mapa final'!$AD$51="Muy Alta",'Mapa final'!$AF$51="Catastrófico"),CONCATENATE("R7C",'Mapa final'!$T$51),"")</f>
        <v/>
      </c>
      <c r="AL12" s="42" t="str">
        <f>IF(AND('Mapa final'!$AD$52="Muy Alta",'Mapa final'!$AF$52="Catastrófico"),CONCATENATE("R7C",'Mapa final'!$T$52),"")</f>
        <v/>
      </c>
      <c r="AM12" s="43" t="str">
        <f>IF(AND('Mapa final'!$AD$53="Muy Alta",'Mapa final'!$AF$53="Catastrófico"),CONCATENATE("R7C",'Mapa final'!$T$53),"")</f>
        <v/>
      </c>
      <c r="AN12" s="69"/>
      <c r="AO12" s="537"/>
      <c r="AP12" s="538"/>
      <c r="AQ12" s="538"/>
      <c r="AR12" s="538"/>
      <c r="AS12" s="538"/>
      <c r="AT12" s="53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row>
    <row r="13" spans="1:91" ht="15" customHeight="1" x14ac:dyDescent="0.25">
      <c r="A13" s="69"/>
      <c r="B13" s="432"/>
      <c r="C13" s="432"/>
      <c r="D13" s="433"/>
      <c r="E13" s="531"/>
      <c r="F13" s="530"/>
      <c r="G13" s="530"/>
      <c r="H13" s="530"/>
      <c r="I13" s="546"/>
      <c r="J13" s="38" t="str">
        <f>IF(AND('Mapa final'!$AD$54="Muy Alta",'Mapa final'!$AF$54="Leve"),CONCATENATE("R8C",'Mapa final'!$T$54),"")</f>
        <v/>
      </c>
      <c r="K13" s="39" t="str">
        <f>IF(AND('Mapa final'!$AD$55="Muy Alta",'Mapa final'!$AF$55="Leve"),CONCATENATE("R8C",'Mapa final'!$T$55),"")</f>
        <v/>
      </c>
      <c r="L13" s="39" t="str">
        <f>IF(AND('Mapa final'!$AD$56="Muy Alta",'Mapa final'!$AF$56="Leve"),CONCATENATE("R8C",'Mapa final'!$T$56),"")</f>
        <v/>
      </c>
      <c r="M13" s="39" t="str">
        <f>IF(AND('Mapa final'!$AD$57="Muy Alta",'Mapa final'!$AF$57="Leve"),CONCATENATE("R8C",'Mapa final'!$T$57),"")</f>
        <v/>
      </c>
      <c r="N13" s="39" t="str">
        <f>IF(AND('Mapa final'!$AD$58="Muy Alta",'Mapa final'!$AF$58="Leve"),CONCATENATE("R8C",'Mapa final'!$T$58),"")</f>
        <v/>
      </c>
      <c r="O13" s="40" t="str">
        <f>IF(AND('Mapa final'!$AD$59="Muy Alta",'Mapa final'!$AF$59="Leve"),CONCATENATE("R8C",'Mapa final'!$T$59),"")</f>
        <v/>
      </c>
      <c r="P13" s="38" t="str">
        <f>IF(AND('Mapa final'!$AD$54="Muy Alta",'Mapa final'!$AF$54="Menor"),CONCATENATE("R8C",'Mapa final'!$T$54),"")</f>
        <v/>
      </c>
      <c r="Q13" s="39" t="str">
        <f>IF(AND('Mapa final'!$AD$55="Muy Alta",'Mapa final'!$AF$55="Menor"),CONCATENATE("R8C",'Mapa final'!$T$55),"")</f>
        <v/>
      </c>
      <c r="R13" s="39" t="str">
        <f>IF(AND('Mapa final'!$AD$56="Muy Alta",'Mapa final'!$AF$56="Menor"),CONCATENATE("R8C",'Mapa final'!$T$56),"")</f>
        <v/>
      </c>
      <c r="S13" s="39" t="str">
        <f>IF(AND('Mapa final'!$AD$57="Muy Alta",'Mapa final'!$AF$57="Menor"),CONCATENATE("R8C",'Mapa final'!$T$57),"")</f>
        <v/>
      </c>
      <c r="T13" s="39" t="str">
        <f>IF(AND('Mapa final'!$AD$58="Muy Alta",'Mapa final'!$AF$58="Menor"),CONCATENATE("R8C",'Mapa final'!$T$58),"")</f>
        <v/>
      </c>
      <c r="U13" s="40" t="str">
        <f>IF(AND('Mapa final'!$AD$59="Muy Alta",'Mapa final'!$AF$59="Menor"),CONCATENATE("R8C",'Mapa final'!$T$59),"")</f>
        <v/>
      </c>
      <c r="V13" s="38" t="str">
        <f>IF(AND('Mapa final'!$AD$54="Muy Alta",'Mapa final'!$AF$54="Moderado"),CONCATENATE("R8C",'Mapa final'!$T$54),"")</f>
        <v/>
      </c>
      <c r="W13" s="39" t="str">
        <f>IF(AND('Mapa final'!$AD$55="Muy Alta",'Mapa final'!$AF$55="Moderado"),CONCATENATE("R8C",'Mapa final'!$T$55),"")</f>
        <v/>
      </c>
      <c r="X13" s="39" t="str">
        <f>IF(AND('Mapa final'!$AD$56="Muy Alta",'Mapa final'!$AF$56="Moderado"),CONCATENATE("R8C",'Mapa final'!$T$56),"")</f>
        <v/>
      </c>
      <c r="Y13" s="39" t="str">
        <f>IF(AND('Mapa final'!$AD$57="Muy Alta",'Mapa final'!$AF$57="Moderado"),CONCATENATE("R8C",'Mapa final'!$T$57),"")</f>
        <v/>
      </c>
      <c r="Z13" s="39" t="str">
        <f>IF(AND('Mapa final'!$AD$58="Muy Alta",'Mapa final'!$AF$58="Moderado"),CONCATENATE("R8C",'Mapa final'!$T$58),"")</f>
        <v/>
      </c>
      <c r="AA13" s="40" t="str">
        <f>IF(AND('Mapa final'!$AD$59="Muy Alta",'Mapa final'!$AF$59="Moderado"),CONCATENATE("R8C",'Mapa final'!$T$59),"")</f>
        <v/>
      </c>
      <c r="AB13" s="38" t="str">
        <f>IF(AND('Mapa final'!$AD$54="Muy Alta",'Mapa final'!$AF$54="Mayor"),CONCATENATE("R8C",'Mapa final'!$T$54),"")</f>
        <v/>
      </c>
      <c r="AC13" s="39" t="str">
        <f>IF(AND('Mapa final'!$AD$55="Muy Alta",'Mapa final'!$AF$55="Mayor"),CONCATENATE("R8C",'Mapa final'!$T$55),"")</f>
        <v/>
      </c>
      <c r="AD13" s="39" t="str">
        <f>IF(AND('Mapa final'!$AD$56="Muy Alta",'Mapa final'!$AF$56="Mayor"),CONCATENATE("R8C",'Mapa final'!$T$56),"")</f>
        <v/>
      </c>
      <c r="AE13" s="39" t="str">
        <f>IF(AND('Mapa final'!$AD$57="Muy Alta",'Mapa final'!$AF$57="Mayor"),CONCATENATE("R8C",'Mapa final'!$T$57),"")</f>
        <v/>
      </c>
      <c r="AF13" s="39" t="str">
        <f>IF(AND('Mapa final'!$AD$58="Muy Alta",'Mapa final'!$AF$58="Mayor"),CONCATENATE("R8C",'Mapa final'!$T$58),"")</f>
        <v/>
      </c>
      <c r="AG13" s="40" t="str">
        <f>IF(AND('Mapa final'!$AD$59="Muy Alta",'Mapa final'!$AF$59="Mayor"),CONCATENATE("R8C",'Mapa final'!$T$59),"")</f>
        <v/>
      </c>
      <c r="AH13" s="41" t="str">
        <f>IF(AND('Mapa final'!$AD$54="Muy Alta",'Mapa final'!$AF$54="Catastrófico"),CONCATENATE("R8C",'Mapa final'!$T$54),"")</f>
        <v/>
      </c>
      <c r="AI13" s="42" t="str">
        <f>IF(AND('Mapa final'!$AD$55="Muy Alta",'Mapa final'!$AF$55="Catastrófico"),CONCATENATE("R8C",'Mapa final'!$T$55),"")</f>
        <v/>
      </c>
      <c r="AJ13" s="42" t="str">
        <f>IF(AND('Mapa final'!$AD$56="Muy Alta",'Mapa final'!$AF$56="Catastrófico"),CONCATENATE("R8C",'Mapa final'!$T$56),"")</f>
        <v/>
      </c>
      <c r="AK13" s="42" t="str">
        <f>IF(AND('Mapa final'!$AD$57="Muy Alta",'Mapa final'!$AF$57="Catastrófico"),CONCATENATE("R8C",'Mapa final'!$T$57),"")</f>
        <v/>
      </c>
      <c r="AL13" s="42" t="str">
        <f>IF(AND('Mapa final'!$AD$58="Muy Alta",'Mapa final'!$AF$58="Catastrófico"),CONCATENATE("R8C",'Mapa final'!$T$58),"")</f>
        <v/>
      </c>
      <c r="AM13" s="43" t="str">
        <f>IF(AND('Mapa final'!$AD$59="Muy Alta",'Mapa final'!$AF$59="Catastrófico"),CONCATENATE("R8C",'Mapa final'!$T$59),"")</f>
        <v/>
      </c>
      <c r="AN13" s="69"/>
      <c r="AO13" s="537"/>
      <c r="AP13" s="538"/>
      <c r="AQ13" s="538"/>
      <c r="AR13" s="538"/>
      <c r="AS13" s="538"/>
      <c r="AT13" s="53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row>
    <row r="14" spans="1:91" ht="15" customHeight="1" x14ac:dyDescent="0.25">
      <c r="A14" s="69"/>
      <c r="B14" s="432"/>
      <c r="C14" s="432"/>
      <c r="D14" s="433"/>
      <c r="E14" s="531"/>
      <c r="F14" s="530"/>
      <c r="G14" s="530"/>
      <c r="H14" s="530"/>
      <c r="I14" s="546"/>
      <c r="J14" s="38" t="str">
        <f>IF(AND('Mapa final'!$AD$60="Muy Alta",'Mapa final'!$AF$60="Leve"),CONCATENATE("R9C",'Mapa final'!$T$60),"")</f>
        <v/>
      </c>
      <c r="K14" s="39" t="str">
        <f>IF(AND('Mapa final'!$AD$61="Muy Alta",'Mapa final'!$AF$61="Leve"),CONCATENATE("R9C",'Mapa final'!$T$61),"")</f>
        <v/>
      </c>
      <c r="L14" s="39" t="str">
        <f>IF(AND('Mapa final'!$AD$62="Muy Alta",'Mapa final'!$AF$62="Leve"),CONCATENATE("R9C",'Mapa final'!$T$62),"")</f>
        <v/>
      </c>
      <c r="M14" s="39" t="str">
        <f>IF(AND('Mapa final'!$AD$63="Muy Alta",'Mapa final'!$AF$63="Leve"),CONCATENATE("R9C",'Mapa final'!$T$63),"")</f>
        <v/>
      </c>
      <c r="N14" s="39" t="str">
        <f>IF(AND('Mapa final'!$AD$64="Muy Alta",'Mapa final'!$AF$64="Leve"),CONCATENATE("R9C",'Mapa final'!$T$64),"")</f>
        <v/>
      </c>
      <c r="O14" s="40" t="str">
        <f>IF(AND('Mapa final'!$AD$65="Muy Alta",'Mapa final'!$AF$65="Leve"),CONCATENATE("R9C",'Mapa final'!$T$65),"")</f>
        <v/>
      </c>
      <c r="P14" s="38" t="str">
        <f>IF(AND('Mapa final'!$AD$60="Muy Alta",'Mapa final'!$AF$60="Menor"),CONCATENATE("R9C",'Mapa final'!$T$60),"")</f>
        <v/>
      </c>
      <c r="Q14" s="39" t="str">
        <f>IF(AND('Mapa final'!$AD$61="Muy Alta",'Mapa final'!$AF$61="Menor"),CONCATENATE("R9C",'Mapa final'!$T$61),"")</f>
        <v/>
      </c>
      <c r="R14" s="39" t="str">
        <f>IF(AND('Mapa final'!$AD$62="Muy Alta",'Mapa final'!$AF$62="Menor"),CONCATENATE("R9C",'Mapa final'!$T$62),"")</f>
        <v/>
      </c>
      <c r="S14" s="39" t="str">
        <f>IF(AND('Mapa final'!$AD$63="Muy Alta",'Mapa final'!$AF$63="Menor"),CONCATENATE("R9C",'Mapa final'!$T$63),"")</f>
        <v/>
      </c>
      <c r="T14" s="39" t="str">
        <f>IF(AND('Mapa final'!$AD$64="Muy Alta",'Mapa final'!$AF$64="Menor"),CONCATENATE("R9C",'Mapa final'!$T$64),"")</f>
        <v/>
      </c>
      <c r="U14" s="40" t="str">
        <f>IF(AND('Mapa final'!$AD$65="Muy Alta",'Mapa final'!$AF$65="Menor"),CONCATENATE("R9C",'Mapa final'!$T$65),"")</f>
        <v/>
      </c>
      <c r="V14" s="38" t="str">
        <f>IF(AND('Mapa final'!$AD$60="Muy Alta",'Mapa final'!$AF$60="Moderado"),CONCATENATE("R9C",'Mapa final'!$T$60),"")</f>
        <v/>
      </c>
      <c r="W14" s="39" t="str">
        <f>IF(AND('Mapa final'!$AD$61="Muy Alta",'Mapa final'!$AF$61="Moderado"),CONCATENATE("R9C",'Mapa final'!$T$61),"")</f>
        <v/>
      </c>
      <c r="X14" s="39" t="str">
        <f>IF(AND('Mapa final'!$AD$62="Muy Alta",'Mapa final'!$AF$62="Moderado"),CONCATENATE("R9C",'Mapa final'!$T$62),"")</f>
        <v/>
      </c>
      <c r="Y14" s="39" t="str">
        <f>IF(AND('Mapa final'!$AD$63="Muy Alta",'Mapa final'!$AF$63="Moderado"),CONCATENATE("R9C",'Mapa final'!$T$63),"")</f>
        <v/>
      </c>
      <c r="Z14" s="39" t="str">
        <f>IF(AND('Mapa final'!$AD$64="Muy Alta",'Mapa final'!$AF$64="Moderado"),CONCATENATE("R9C",'Mapa final'!$T$64),"")</f>
        <v/>
      </c>
      <c r="AA14" s="40" t="str">
        <f>IF(AND('Mapa final'!$AD$65="Muy Alta",'Mapa final'!$AF$65="Moderado"),CONCATENATE("R9C",'Mapa final'!$T$65),"")</f>
        <v/>
      </c>
      <c r="AB14" s="38" t="str">
        <f>IF(AND('Mapa final'!$AD$60="Muy Alta",'Mapa final'!$AF$60="Mayor"),CONCATENATE("R9C",'Mapa final'!$T$60),"")</f>
        <v/>
      </c>
      <c r="AC14" s="39" t="str">
        <f>IF(AND('Mapa final'!$AD$61="Muy Alta",'Mapa final'!$AF$61="Mayor"),CONCATENATE("R9C",'Mapa final'!$T$61),"")</f>
        <v/>
      </c>
      <c r="AD14" s="39" t="str">
        <f>IF(AND('Mapa final'!$AD$62="Muy Alta",'Mapa final'!$AF$62="Mayor"),CONCATENATE("R9C",'Mapa final'!$T$62),"")</f>
        <v/>
      </c>
      <c r="AE14" s="39" t="str">
        <f>IF(AND('Mapa final'!$AD$63="Muy Alta",'Mapa final'!$AF$63="Mayor"),CONCATENATE("R9C",'Mapa final'!$T$63),"")</f>
        <v/>
      </c>
      <c r="AF14" s="39" t="str">
        <f>IF(AND('Mapa final'!$AD$64="Muy Alta",'Mapa final'!$AF$64="Mayor"),CONCATENATE("R9C",'Mapa final'!$T$64),"")</f>
        <v/>
      </c>
      <c r="AG14" s="40" t="str">
        <f>IF(AND('Mapa final'!$AD$65="Muy Alta",'Mapa final'!$AF$65="Mayor"),CONCATENATE("R9C",'Mapa final'!$T$65),"")</f>
        <v/>
      </c>
      <c r="AH14" s="41" t="str">
        <f>IF(AND('Mapa final'!$AD$60="Muy Alta",'Mapa final'!$AF$60="Catastrófico"),CONCATENATE("R9C",'Mapa final'!$T$60),"")</f>
        <v/>
      </c>
      <c r="AI14" s="42" t="str">
        <f>IF(AND('Mapa final'!$AD$61="Muy Alta",'Mapa final'!$AF$61="Catastrófico"),CONCATENATE("R9C",'Mapa final'!$T$61),"")</f>
        <v/>
      </c>
      <c r="AJ14" s="42" t="str">
        <f>IF(AND('Mapa final'!$AD$62="Muy Alta",'Mapa final'!$AF$62="Catastrófico"),CONCATENATE("R9C",'Mapa final'!$T$62),"")</f>
        <v/>
      </c>
      <c r="AK14" s="42" t="str">
        <f>IF(AND('Mapa final'!$AD$63="Muy Alta",'Mapa final'!$AF$63="Catastrófico"),CONCATENATE("R9C",'Mapa final'!$T$63),"")</f>
        <v/>
      </c>
      <c r="AL14" s="42" t="str">
        <f>IF(AND('Mapa final'!$AD$64="Muy Alta",'Mapa final'!$AF$64="Catastrófico"),CONCATENATE("R9C",'Mapa final'!$T$64),"")</f>
        <v/>
      </c>
      <c r="AM14" s="43" t="str">
        <f>IF(AND('Mapa final'!$AD$65="Muy Alta",'Mapa final'!$AF$65="Catastrófico"),CONCATENATE("R9C",'Mapa final'!$T$65),"")</f>
        <v/>
      </c>
      <c r="AN14" s="69"/>
      <c r="AO14" s="537"/>
      <c r="AP14" s="538"/>
      <c r="AQ14" s="538"/>
      <c r="AR14" s="538"/>
      <c r="AS14" s="538"/>
      <c r="AT14" s="53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row>
    <row r="15" spans="1:91" ht="15.75" customHeight="1" thickBot="1" x14ac:dyDescent="0.3">
      <c r="A15" s="69"/>
      <c r="B15" s="432"/>
      <c r="C15" s="432"/>
      <c r="D15" s="433"/>
      <c r="E15" s="532"/>
      <c r="F15" s="533"/>
      <c r="G15" s="533"/>
      <c r="H15" s="533"/>
      <c r="I15" s="547"/>
      <c r="J15" s="44" t="str">
        <f>IF(AND('Mapa final'!$AD$66="Muy Alta",'Mapa final'!$AF$66="Leve"),CONCATENATE("R10C",'Mapa final'!$T$66),"")</f>
        <v/>
      </c>
      <c r="K15" s="45" t="str">
        <f>IF(AND('Mapa final'!$AD$67="Muy Alta",'Mapa final'!$AF$67="Leve"),CONCATENATE("R10C",'Mapa final'!$T$67),"")</f>
        <v/>
      </c>
      <c r="L15" s="45" t="str">
        <f>IF(AND('Mapa final'!$AD$68="Muy Alta",'Mapa final'!$AF$68="Leve"),CONCATENATE("R10C",'Mapa final'!$T$68),"")</f>
        <v/>
      </c>
      <c r="M15" s="45" t="str">
        <f>IF(AND('Mapa final'!$AD$69="Muy Alta",'Mapa final'!$AF$69="Leve"),CONCATENATE("R10C",'Mapa final'!$T$69),"")</f>
        <v/>
      </c>
      <c r="N15" s="45" t="str">
        <f>IF(AND('Mapa final'!$AD$70="Muy Alta",'Mapa final'!$AF$70="Leve"),CONCATENATE("R10C",'Mapa final'!$T$70),"")</f>
        <v/>
      </c>
      <c r="O15" s="46" t="str">
        <f>IF(AND('Mapa final'!$AD$71="Muy Alta",'Mapa final'!$AF$71="Leve"),CONCATENATE("R10C",'Mapa final'!$T$71),"")</f>
        <v/>
      </c>
      <c r="P15" s="38" t="str">
        <f>IF(AND('Mapa final'!$AD$66="Muy Alta",'Mapa final'!$AF$66="Menor"),CONCATENATE("R10C",'Mapa final'!$T$66),"")</f>
        <v/>
      </c>
      <c r="Q15" s="39" t="str">
        <f>IF(AND('Mapa final'!$AD$67="Muy Alta",'Mapa final'!$AF$67="Menor"),CONCATENATE("R10C",'Mapa final'!$T$67),"")</f>
        <v/>
      </c>
      <c r="R15" s="39" t="str">
        <f>IF(AND('Mapa final'!$AD$68="Muy Alta",'Mapa final'!$AF$68="Menor"),CONCATENATE("R10C",'Mapa final'!$T$68),"")</f>
        <v/>
      </c>
      <c r="S15" s="39" t="str">
        <f>IF(AND('Mapa final'!$AD$69="Muy Alta",'Mapa final'!$AF$69="Menor"),CONCATENATE("R10C",'Mapa final'!$T$69),"")</f>
        <v/>
      </c>
      <c r="T15" s="39" t="str">
        <f>IF(AND('Mapa final'!$AD$70="Muy Alta",'Mapa final'!$AF$70="Menor"),CONCATENATE("R10C",'Mapa final'!$T$70),"")</f>
        <v/>
      </c>
      <c r="U15" s="40" t="str">
        <f>IF(AND('Mapa final'!$AD$71="Muy Alta",'Mapa final'!$AF$71="Menor"),CONCATENATE("R10C",'Mapa final'!$T$71),"")</f>
        <v/>
      </c>
      <c r="V15" s="44" t="str">
        <f>IF(AND('Mapa final'!$AD$66="Muy Alta",'Mapa final'!$AF$66="Moderado"),CONCATENATE("R10C",'Mapa final'!$T$66),"")</f>
        <v/>
      </c>
      <c r="W15" s="45" t="str">
        <f>IF(AND('Mapa final'!$AD$67="Muy Alta",'Mapa final'!$AF$67="Moderado"),CONCATENATE("R10C",'Mapa final'!$T$67),"")</f>
        <v/>
      </c>
      <c r="X15" s="45" t="str">
        <f>IF(AND('Mapa final'!$AD$68="Muy Alta",'Mapa final'!$AF$68="Moderado"),CONCATENATE("R10C",'Mapa final'!$T$68),"")</f>
        <v/>
      </c>
      <c r="Y15" s="45" t="str">
        <f>IF(AND('Mapa final'!$AD$69="Muy Alta",'Mapa final'!$AF$69="Moderado"),CONCATENATE("R10C",'Mapa final'!$T$69),"")</f>
        <v/>
      </c>
      <c r="Z15" s="45" t="str">
        <f>IF(AND('Mapa final'!$AD$70="Muy Alta",'Mapa final'!$AF$70="Moderado"),CONCATENATE("R10C",'Mapa final'!$T$70),"")</f>
        <v/>
      </c>
      <c r="AA15" s="46" t="str">
        <f>IF(AND('Mapa final'!$AD$71="Muy Alta",'Mapa final'!$AF$71="Moderado"),CONCATENATE("R10C",'Mapa final'!$T$71),"")</f>
        <v/>
      </c>
      <c r="AB15" s="38" t="str">
        <f>IF(AND('Mapa final'!$AD$66="Muy Alta",'Mapa final'!$AF$66="Mayor"),CONCATENATE("R10C",'Mapa final'!$T$66),"")</f>
        <v/>
      </c>
      <c r="AC15" s="39" t="str">
        <f>IF(AND('Mapa final'!$AD$67="Muy Alta",'Mapa final'!$AF$67="Mayor"),CONCATENATE("R10C",'Mapa final'!$T$67),"")</f>
        <v/>
      </c>
      <c r="AD15" s="39" t="str">
        <f>IF(AND('Mapa final'!$AD$68="Muy Alta",'Mapa final'!$AF$68="Mayor"),CONCATENATE("R10C",'Mapa final'!$T$68),"")</f>
        <v/>
      </c>
      <c r="AE15" s="39" t="str">
        <f>IF(AND('Mapa final'!$AD$69="Muy Alta",'Mapa final'!$AF$69="Mayor"),CONCATENATE("R10C",'Mapa final'!$T$69),"")</f>
        <v/>
      </c>
      <c r="AF15" s="39" t="str">
        <f>IF(AND('Mapa final'!$AD$70="Muy Alta",'Mapa final'!$AF$70="Mayor"),CONCATENATE("R10C",'Mapa final'!$T$70),"")</f>
        <v/>
      </c>
      <c r="AG15" s="40" t="str">
        <f>IF(AND('Mapa final'!$AD$71="Muy Alta",'Mapa final'!$AF$71="Mayor"),CONCATENATE("R10C",'Mapa final'!$T$71),"")</f>
        <v/>
      </c>
      <c r="AH15" s="47" t="str">
        <f>IF(AND('Mapa final'!$AD$66="Muy Alta",'Mapa final'!$AF$66="Catastrófico"),CONCATENATE("R10C",'Mapa final'!$T$66),"")</f>
        <v/>
      </c>
      <c r="AI15" s="48" t="str">
        <f>IF(AND('Mapa final'!$AD$67="Muy Alta",'Mapa final'!$AF$67="Catastrófico"),CONCATENATE("R10C",'Mapa final'!$T$67),"")</f>
        <v/>
      </c>
      <c r="AJ15" s="48" t="str">
        <f>IF(AND('Mapa final'!$AD$68="Muy Alta",'Mapa final'!$AF$68="Catastrófico"),CONCATENATE("R10C",'Mapa final'!$T$68),"")</f>
        <v/>
      </c>
      <c r="AK15" s="48" t="str">
        <f>IF(AND('Mapa final'!$AD$69="Muy Alta",'Mapa final'!$AF$69="Catastrófico"),CONCATENATE("R10C",'Mapa final'!$T$69),"")</f>
        <v/>
      </c>
      <c r="AL15" s="48" t="str">
        <f>IF(AND('Mapa final'!$AD$70="Muy Alta",'Mapa final'!$AF$70="Catastrófico"),CONCATENATE("R10C",'Mapa final'!$T$70),"")</f>
        <v/>
      </c>
      <c r="AM15" s="49" t="str">
        <f>IF(AND('Mapa final'!$AD$71="Muy Alta",'Mapa final'!$AF$71="Catastrófico"),CONCATENATE("R10C",'Mapa final'!$T$71),"")</f>
        <v/>
      </c>
      <c r="AN15" s="69"/>
      <c r="AO15" s="540"/>
      <c r="AP15" s="541"/>
      <c r="AQ15" s="541"/>
      <c r="AR15" s="541"/>
      <c r="AS15" s="541"/>
      <c r="AT15" s="542"/>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row>
    <row r="16" spans="1:91" ht="15" customHeight="1" x14ac:dyDescent="0.25">
      <c r="A16" s="69"/>
      <c r="B16" s="432"/>
      <c r="C16" s="432"/>
      <c r="D16" s="433"/>
      <c r="E16" s="527" t="s">
        <v>115</v>
      </c>
      <c r="F16" s="528"/>
      <c r="G16" s="528"/>
      <c r="H16" s="528"/>
      <c r="I16" s="528"/>
      <c r="J16" s="50" t="str">
        <f>IF(AND('Mapa final'!$AD$12="Alta",'Mapa final'!$AF$12="Leve"),CONCATENATE("R1C",'Mapa final'!$T$12),"")</f>
        <v/>
      </c>
      <c r="K16" s="51" t="str">
        <f>IF(AND('Mapa final'!$AD$13="Alta",'Mapa final'!$AF$13="Leve"),CONCATENATE("R1C",'Mapa final'!$T$13),"")</f>
        <v/>
      </c>
      <c r="L16" s="51" t="str">
        <f>IF(AND('Mapa final'!$AD$14="Alta",'Mapa final'!$AF$14="Leve"),CONCATENATE("R1C",'Mapa final'!$T$14),"")</f>
        <v/>
      </c>
      <c r="M16" s="51" t="str">
        <f>IF(AND('Mapa final'!$AD$15="Alta",'Mapa final'!$AF$15="Leve"),CONCATENATE("R1C",'Mapa final'!$T$15),"")</f>
        <v/>
      </c>
      <c r="N16" s="51" t="str">
        <f>IF(AND('Mapa final'!$AD$16="Alta",'Mapa final'!$AF$16="Leve"),CONCATENATE("R1C",'Mapa final'!$T$16),"")</f>
        <v/>
      </c>
      <c r="O16" s="52" t="str">
        <f>IF(AND('Mapa final'!$AD$17="Alta",'Mapa final'!$AF$17="Leve"),CONCATENATE("R1C",'Mapa final'!$T$17),"")</f>
        <v/>
      </c>
      <c r="P16" s="50" t="str">
        <f>IF(AND('Mapa final'!$AD$12="Alta",'Mapa final'!$AF$12="Menor"),CONCATENATE("R1C",'Mapa final'!$T$12),"")</f>
        <v/>
      </c>
      <c r="Q16" s="51" t="str">
        <f>IF(AND('Mapa final'!$AD$13="Alta",'Mapa final'!$AF$13="Menor"),CONCATENATE("R1C",'Mapa final'!$T$13),"")</f>
        <v/>
      </c>
      <c r="R16" s="51" t="str">
        <f>IF(AND('Mapa final'!$AD$14="Alta",'Mapa final'!$AF$14="Menor"),CONCATENATE("R1C",'Mapa final'!$T$14),"")</f>
        <v/>
      </c>
      <c r="S16" s="51" t="str">
        <f>IF(AND('Mapa final'!$AD$15="Alta",'Mapa final'!$AF$15="Menor"),CONCATENATE("R1C",'Mapa final'!$T$15),"")</f>
        <v/>
      </c>
      <c r="T16" s="51" t="str">
        <f>IF(AND('Mapa final'!$AD$16="Alta",'Mapa final'!$AF$16="Menor"),CONCATENATE("R1C",'Mapa final'!$T$16),"")</f>
        <v/>
      </c>
      <c r="U16" s="52" t="str">
        <f>IF(AND('Mapa final'!$AD$17="Alta",'Mapa final'!$AF$17="Menor"),CONCATENATE("R1C",'Mapa final'!$T$17),"")</f>
        <v/>
      </c>
      <c r="V16" s="32" t="str">
        <f>IF(AND('Mapa final'!$AD$12="Alta",'Mapa final'!$AF$12="Moderado"),CONCATENATE("R1C",'Mapa final'!$T$12),"")</f>
        <v/>
      </c>
      <c r="W16" s="33" t="str">
        <f>IF(AND('Mapa final'!$AD$13="Alta",'Mapa final'!$AF$13="Moderado"),CONCATENATE("R1C",'Mapa final'!$T$13),"")</f>
        <v/>
      </c>
      <c r="X16" s="33" t="str">
        <f>IF(AND('Mapa final'!$AD$14="Alta",'Mapa final'!$AF$14="Moderado"),CONCATENATE("R1C",'Mapa final'!$T$14),"")</f>
        <v/>
      </c>
      <c r="Y16" s="33" t="str">
        <f>IF(AND('Mapa final'!$AD$15="Alta",'Mapa final'!$AF$15="Moderado"),CONCATENATE("R1C",'Mapa final'!$T$15),"")</f>
        <v/>
      </c>
      <c r="Z16" s="33" t="str">
        <f>IF(AND('Mapa final'!$AD$16="Alta",'Mapa final'!$AF$16="Moderado"),CONCATENATE("R1C",'Mapa final'!$T$16),"")</f>
        <v/>
      </c>
      <c r="AA16" s="34" t="str">
        <f>IF(AND('Mapa final'!$AD$17="Alta",'Mapa final'!$AF$17="Moderado"),CONCATENATE("R1C",'Mapa final'!$T$17),"")</f>
        <v/>
      </c>
      <c r="AB16" s="32" t="str">
        <f>IF(AND('Mapa final'!$AD$12="Alta",'Mapa final'!$AF$12="Mayor"),CONCATENATE("R1C",'Mapa final'!$T$12),"")</f>
        <v/>
      </c>
      <c r="AC16" s="33" t="str">
        <f>IF(AND('Mapa final'!$AD$13="Alta",'Mapa final'!$AF$13="Mayor"),CONCATENATE("R1C",'Mapa final'!$T$13),"")</f>
        <v/>
      </c>
      <c r="AD16" s="33" t="str">
        <f>IF(AND('Mapa final'!$AD$14="Alta",'Mapa final'!$AF$14="Mayor"),CONCATENATE("R1C",'Mapa final'!$T$14),"")</f>
        <v/>
      </c>
      <c r="AE16" s="33" t="str">
        <f>IF(AND('Mapa final'!$AD$15="Alta",'Mapa final'!$AF$15="Mayor"),CONCATENATE("R1C",'Mapa final'!$T$15),"")</f>
        <v/>
      </c>
      <c r="AF16" s="33" t="str">
        <f>IF(AND('Mapa final'!$AD$16="Alta",'Mapa final'!$AF$16="Mayor"),CONCATENATE("R1C",'Mapa final'!$T$16),"")</f>
        <v/>
      </c>
      <c r="AG16" s="34" t="str">
        <f>IF(AND('Mapa final'!$AD$17="Alta",'Mapa final'!$AF$17="Mayor"),CONCATENATE("R1C",'Mapa final'!$T$17),"")</f>
        <v/>
      </c>
      <c r="AH16" s="35" t="str">
        <f>IF(AND('Mapa final'!$AD$12="Alta",'Mapa final'!$AF$12="Catastrófico"),CONCATENATE("R1C",'Mapa final'!$T$12),"")</f>
        <v/>
      </c>
      <c r="AI16" s="36" t="str">
        <f>IF(AND('Mapa final'!$AD$13="Alta",'Mapa final'!$AF$13="Catastrófico"),CONCATENATE("R1C",'Mapa final'!$T$13),"")</f>
        <v/>
      </c>
      <c r="AJ16" s="36" t="str">
        <f>IF(AND('Mapa final'!$AD$14="Alta",'Mapa final'!$AF$14="Catastrófico"),CONCATENATE("R1C",'Mapa final'!$T$14),"")</f>
        <v/>
      </c>
      <c r="AK16" s="36" t="str">
        <f>IF(AND('Mapa final'!$AD$15="Alta",'Mapa final'!$AF$15="Catastrófico"),CONCATENATE("R1C",'Mapa final'!$T$15),"")</f>
        <v/>
      </c>
      <c r="AL16" s="36" t="str">
        <f>IF(AND('Mapa final'!$AD$16="Alta",'Mapa final'!$AF$16="Catastrófico"),CONCATENATE("R1C",'Mapa final'!$T$16),"")</f>
        <v/>
      </c>
      <c r="AM16" s="37" t="str">
        <f>IF(AND('Mapa final'!$AD$17="Alta",'Mapa final'!$AF$17="Catastrófico"),CONCATENATE("R1C",'Mapa final'!$T$17),"")</f>
        <v/>
      </c>
      <c r="AN16" s="69"/>
      <c r="AO16" s="518" t="s">
        <v>80</v>
      </c>
      <c r="AP16" s="519"/>
      <c r="AQ16" s="519"/>
      <c r="AR16" s="519"/>
      <c r="AS16" s="519"/>
      <c r="AT16" s="520"/>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row>
    <row r="17" spans="1:76" ht="15" customHeight="1" x14ac:dyDescent="0.25">
      <c r="A17" s="69"/>
      <c r="B17" s="432"/>
      <c r="C17" s="432"/>
      <c r="D17" s="433"/>
      <c r="E17" s="529"/>
      <c r="F17" s="530"/>
      <c r="G17" s="530"/>
      <c r="H17" s="530"/>
      <c r="I17" s="530"/>
      <c r="J17" s="53" t="str">
        <f>IF(AND('Mapa final'!$AD$18="Alta",'Mapa final'!$AF$18="Leve"),CONCATENATE("R2C",'Mapa final'!$T$18),"")</f>
        <v/>
      </c>
      <c r="K17" s="54" t="str">
        <f>IF(AND('Mapa final'!$AD$19="Alta",'Mapa final'!$AF$19="Leve"),CONCATENATE("R2C",'Mapa final'!$T$19),"")</f>
        <v/>
      </c>
      <c r="L17" s="54" t="str">
        <f>IF(AND('Mapa final'!$AD$20="Alta",'Mapa final'!$AF$20="Leve"),CONCATENATE("R2C",'Mapa final'!$T$20),"")</f>
        <v/>
      </c>
      <c r="M17" s="54" t="str">
        <f>IF(AND('Mapa final'!$AD$21="Alta",'Mapa final'!$AF$21="Leve"),CONCATENATE("R2C",'Mapa final'!$T$21),"")</f>
        <v/>
      </c>
      <c r="N17" s="54" t="str">
        <f>IF(AND('Mapa final'!$AD$22="Alta",'Mapa final'!$AF$22="Leve"),CONCATENATE("R2C",'Mapa final'!$T$22),"")</f>
        <v/>
      </c>
      <c r="O17" s="55" t="str">
        <f>IF(AND('Mapa final'!$AD$23="Alta",'Mapa final'!$AF$23="Leve"),CONCATENATE("R2C",'Mapa final'!$T$23),"")</f>
        <v/>
      </c>
      <c r="P17" s="53" t="str">
        <f>IF(AND('Mapa final'!$AD$18="Alta",'Mapa final'!$AF$18="Menor"),CONCATENATE("R2C",'Mapa final'!$T$18),"")</f>
        <v/>
      </c>
      <c r="Q17" s="54" t="str">
        <f>IF(AND('Mapa final'!$AD$19="Alta",'Mapa final'!$AF$19="Menor"),CONCATENATE("R2C",'Mapa final'!$T$19),"")</f>
        <v/>
      </c>
      <c r="R17" s="54" t="str">
        <f>IF(AND('Mapa final'!$AD$20="Alta",'Mapa final'!$AF$20="Menor"),CONCATENATE("R2C",'Mapa final'!$T$20),"")</f>
        <v/>
      </c>
      <c r="S17" s="54" t="str">
        <f>IF(AND('Mapa final'!$AD$21="Alta",'Mapa final'!$AF$21="Menor"),CONCATENATE("R2C",'Mapa final'!$T$21),"")</f>
        <v/>
      </c>
      <c r="T17" s="54" t="str">
        <f>IF(AND('Mapa final'!$AD$22="Alta",'Mapa final'!$AF$22="Menor"),CONCATENATE("R2C",'Mapa final'!$T$22),"")</f>
        <v/>
      </c>
      <c r="U17" s="55" t="str">
        <f>IF(AND('Mapa final'!$AD$23="Alta",'Mapa final'!$AF$23="Menor"),CONCATENATE("R2C",'Mapa final'!$T$23),"")</f>
        <v/>
      </c>
      <c r="V17" s="38" t="str">
        <f>IF(AND('Mapa final'!$AD$18="Alta",'Mapa final'!$AF$18="Moderado"),CONCATENATE("R2C",'Mapa final'!$T$18),"")</f>
        <v/>
      </c>
      <c r="W17" s="39" t="str">
        <f>IF(AND('Mapa final'!$AD$19="Alta",'Mapa final'!$AF$19="Moderado"),CONCATENATE("R2C",'Mapa final'!$T$19),"")</f>
        <v/>
      </c>
      <c r="X17" s="39" t="str">
        <f>IF(AND('Mapa final'!$AD$20="Alta",'Mapa final'!$AF$20="Moderado"),CONCATENATE("R2C",'Mapa final'!$T$20),"")</f>
        <v/>
      </c>
      <c r="Y17" s="39" t="str">
        <f>IF(AND('Mapa final'!$AD$21="Alta",'Mapa final'!$AF$21="Moderado"),CONCATENATE("R2C",'Mapa final'!$T$21),"")</f>
        <v/>
      </c>
      <c r="Z17" s="39" t="str">
        <f>IF(AND('Mapa final'!$AD$22="Alta",'Mapa final'!$AF$22="Moderado"),CONCATENATE("R2C",'Mapa final'!$T$22),"")</f>
        <v/>
      </c>
      <c r="AA17" s="40" t="str">
        <f>IF(AND('Mapa final'!$AD$23="Alta",'Mapa final'!$AF$23="Moderado"),CONCATENATE("R2C",'Mapa final'!$T$23),"")</f>
        <v/>
      </c>
      <c r="AB17" s="38" t="str">
        <f>IF(AND('Mapa final'!$AD$18="Alta",'Mapa final'!$AF$18="Mayor"),CONCATENATE("R2C",'Mapa final'!$T$18),"")</f>
        <v/>
      </c>
      <c r="AC17" s="39" t="str">
        <f>IF(AND('Mapa final'!$AD$19="Alta",'Mapa final'!$AF$19="Mayor"),CONCATENATE("R2C",'Mapa final'!$T$19),"")</f>
        <v/>
      </c>
      <c r="AD17" s="39" t="str">
        <f>IF(AND('Mapa final'!$AD$20="Alta",'Mapa final'!$AF$20="Mayor"),CONCATENATE("R2C",'Mapa final'!$T$20),"")</f>
        <v/>
      </c>
      <c r="AE17" s="39" t="str">
        <f>IF(AND('Mapa final'!$AD$21="Alta",'Mapa final'!$AF$21="Mayor"),CONCATENATE("R2C",'Mapa final'!$T$21),"")</f>
        <v/>
      </c>
      <c r="AF17" s="39" t="str">
        <f>IF(AND('Mapa final'!$AD$22="Alta",'Mapa final'!$AF$22="Mayor"),CONCATENATE("R2C",'Mapa final'!$T$22),"")</f>
        <v/>
      </c>
      <c r="AG17" s="40" t="str">
        <f>IF(AND('Mapa final'!$AD$23="Alta",'Mapa final'!$AF$23="Mayor"),CONCATENATE("R2C",'Mapa final'!$T$23),"")</f>
        <v/>
      </c>
      <c r="AH17" s="41" t="str">
        <f>IF(AND('Mapa final'!$AD$18="Alta",'Mapa final'!$AF$18="Catastrófico"),CONCATENATE("R2C",'Mapa final'!$T$18),"")</f>
        <v/>
      </c>
      <c r="AI17" s="42" t="str">
        <f>IF(AND('Mapa final'!$AD$19="Alta",'Mapa final'!$AF$19="Catastrófico"),CONCATENATE("R2C",'Mapa final'!$T$19),"")</f>
        <v/>
      </c>
      <c r="AJ17" s="42" t="str">
        <f>IF(AND('Mapa final'!$AD$20="Alta",'Mapa final'!$AF$20="Catastrófico"),CONCATENATE("R2C",'Mapa final'!$T$20),"")</f>
        <v/>
      </c>
      <c r="AK17" s="42" t="str">
        <f>IF(AND('Mapa final'!$AD$21="Alta",'Mapa final'!$AF$21="Catastrófico"),CONCATENATE("R2C",'Mapa final'!$T$21),"")</f>
        <v/>
      </c>
      <c r="AL17" s="42" t="str">
        <f>IF(AND('Mapa final'!$AD$22="Alta",'Mapa final'!$AF$22="Catastrófico"),CONCATENATE("R2C",'Mapa final'!$T$22),"")</f>
        <v/>
      </c>
      <c r="AM17" s="43" t="str">
        <f>IF(AND('Mapa final'!$AD$23="Alta",'Mapa final'!$AF$23="Catastrófico"),CONCATENATE("R2C",'Mapa final'!$T$23),"")</f>
        <v/>
      </c>
      <c r="AN17" s="69"/>
      <c r="AO17" s="521"/>
      <c r="AP17" s="522"/>
      <c r="AQ17" s="522"/>
      <c r="AR17" s="522"/>
      <c r="AS17" s="522"/>
      <c r="AT17" s="523"/>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row>
    <row r="18" spans="1:76" ht="15" customHeight="1" x14ac:dyDescent="0.25">
      <c r="A18" s="69"/>
      <c r="B18" s="432"/>
      <c r="C18" s="432"/>
      <c r="D18" s="433"/>
      <c r="E18" s="531"/>
      <c r="F18" s="530"/>
      <c r="G18" s="530"/>
      <c r="H18" s="530"/>
      <c r="I18" s="530"/>
      <c r="J18" s="53" t="str">
        <f>IF(AND('Mapa final'!$AD$24="Alta",'Mapa final'!$AF$24="Leve"),CONCATENATE("R3C",'Mapa final'!$T$24),"")</f>
        <v/>
      </c>
      <c r="K18" s="54" t="str">
        <f>IF(AND('Mapa final'!$AD$25="Alta",'Mapa final'!$AF$25="Leve"),CONCATENATE("R3C",'Mapa final'!$T$25),"")</f>
        <v/>
      </c>
      <c r="L18" s="54" t="str">
        <f>IF(AND('Mapa final'!$AD$26="Alta",'Mapa final'!$AF$26="Leve"),CONCATENATE("R3C",'Mapa final'!$T$26),"")</f>
        <v/>
      </c>
      <c r="M18" s="54" t="str">
        <f>IF(AND('Mapa final'!$AD$27="Alta",'Mapa final'!$AF$27="Leve"),CONCATENATE("R3C",'Mapa final'!$T$27),"")</f>
        <v/>
      </c>
      <c r="N18" s="54" t="str">
        <f>IF(AND('Mapa final'!$AD$28="Alta",'Mapa final'!$AF$28="Leve"),CONCATENATE("R3C",'Mapa final'!$T$28),"")</f>
        <v/>
      </c>
      <c r="O18" s="55" t="str">
        <f>IF(AND('Mapa final'!$AD$29="Alta",'Mapa final'!$AF$29="Leve"),CONCATENATE("R3C",'Mapa final'!$T$29),"")</f>
        <v/>
      </c>
      <c r="P18" s="53" t="str">
        <f>IF(AND('Mapa final'!$AD$24="Alta",'Mapa final'!$AF$24="Menor"),CONCATENATE("R3C",'Mapa final'!$T$24),"")</f>
        <v/>
      </c>
      <c r="Q18" s="54" t="str">
        <f>IF(AND('Mapa final'!$AD$25="Alta",'Mapa final'!$AF$25="Menor"),CONCATENATE("R3C",'Mapa final'!$T$25),"")</f>
        <v/>
      </c>
      <c r="R18" s="54" t="str">
        <f>IF(AND('Mapa final'!$AD$26="Alta",'Mapa final'!$AF$26="Menor"),CONCATENATE("R3C",'Mapa final'!$T$26),"")</f>
        <v/>
      </c>
      <c r="S18" s="54" t="str">
        <f>IF(AND('Mapa final'!$AD$27="Alta",'Mapa final'!$AF$27="Menor"),CONCATENATE("R3C",'Mapa final'!$T$27),"")</f>
        <v/>
      </c>
      <c r="T18" s="54" t="str">
        <f>IF(AND('Mapa final'!$AD$28="Alta",'Mapa final'!$AF$28="Menor"),CONCATENATE("R3C",'Mapa final'!$T$28),"")</f>
        <v/>
      </c>
      <c r="U18" s="55" t="str">
        <f>IF(AND('Mapa final'!$AD$29="Alta",'Mapa final'!$AF$29="Menor"),CONCATENATE("R3C",'Mapa final'!$T$29),"")</f>
        <v/>
      </c>
      <c r="V18" s="38" t="str">
        <f>IF(AND('Mapa final'!$AD$24="Alta",'Mapa final'!$AF$24="Moderado"),CONCATENATE("R3C",'Mapa final'!$T$24),"")</f>
        <v/>
      </c>
      <c r="W18" s="39" t="str">
        <f>IF(AND('Mapa final'!$AD$25="Alta",'Mapa final'!$AF$25="Moderado"),CONCATENATE("R3C",'Mapa final'!$T$25),"")</f>
        <v/>
      </c>
      <c r="X18" s="39" t="str">
        <f>IF(AND('Mapa final'!$AD$26="Alta",'Mapa final'!$AF$26="Moderado"),CONCATENATE("R3C",'Mapa final'!$T$26),"")</f>
        <v/>
      </c>
      <c r="Y18" s="39" t="str">
        <f>IF(AND('Mapa final'!$AD$27="Alta",'Mapa final'!$AF$27="Moderado"),CONCATENATE("R3C",'Mapa final'!$T$27),"")</f>
        <v/>
      </c>
      <c r="Z18" s="39" t="str">
        <f>IF(AND('Mapa final'!$AD$28="Alta",'Mapa final'!$AF$28="Moderado"),CONCATENATE("R3C",'Mapa final'!$T$28),"")</f>
        <v/>
      </c>
      <c r="AA18" s="40" t="str">
        <f>IF(AND('Mapa final'!$AD$29="Alta",'Mapa final'!$AF$29="Moderado"),CONCATENATE("R3C",'Mapa final'!$T$29),"")</f>
        <v/>
      </c>
      <c r="AB18" s="38" t="str">
        <f>IF(AND('Mapa final'!$AD$24="Alta",'Mapa final'!$AF$24="Mayor"),CONCATENATE("R3C",'Mapa final'!$T$24),"")</f>
        <v/>
      </c>
      <c r="AC18" s="39" t="str">
        <f>IF(AND('Mapa final'!$AD$25="Alta",'Mapa final'!$AF$25="Mayor"),CONCATENATE("R3C",'Mapa final'!$T$25),"")</f>
        <v/>
      </c>
      <c r="AD18" s="39" t="str">
        <f>IF(AND('Mapa final'!$AD$26="Alta",'Mapa final'!$AF$26="Mayor"),CONCATENATE("R3C",'Mapa final'!$T$26),"")</f>
        <v/>
      </c>
      <c r="AE18" s="39" t="str">
        <f>IF(AND('Mapa final'!$AD$27="Alta",'Mapa final'!$AF$27="Mayor"),CONCATENATE("R3C",'Mapa final'!$T$27),"")</f>
        <v/>
      </c>
      <c r="AF18" s="39" t="str">
        <f>IF(AND('Mapa final'!$AD$28="Alta",'Mapa final'!$AF$28="Mayor"),CONCATENATE("R3C",'Mapa final'!$T$28),"")</f>
        <v/>
      </c>
      <c r="AG18" s="40" t="str">
        <f>IF(AND('Mapa final'!$AD$29="Alta",'Mapa final'!$AF$29="Mayor"),CONCATENATE("R3C",'Mapa final'!$T$29),"")</f>
        <v/>
      </c>
      <c r="AH18" s="41" t="str">
        <f>IF(AND('Mapa final'!$AD$24="Alta",'Mapa final'!$AF$24="Catastrófico"),CONCATENATE("R3C",'Mapa final'!$T$24),"")</f>
        <v/>
      </c>
      <c r="AI18" s="42" t="str">
        <f>IF(AND('Mapa final'!$AD$25="Alta",'Mapa final'!$AF$25="Catastrófico"),CONCATENATE("R3C",'Mapa final'!$T$25),"")</f>
        <v/>
      </c>
      <c r="AJ18" s="42" t="str">
        <f>IF(AND('Mapa final'!$AD$26="Alta",'Mapa final'!$AF$26="Catastrófico"),CONCATENATE("R3C",'Mapa final'!$T$26),"")</f>
        <v/>
      </c>
      <c r="AK18" s="42" t="str">
        <f>IF(AND('Mapa final'!$AD$27="Alta",'Mapa final'!$AF$27="Catastrófico"),CONCATENATE("R3C",'Mapa final'!$T$27),"")</f>
        <v/>
      </c>
      <c r="AL18" s="42" t="str">
        <f>IF(AND('Mapa final'!$AD$28="Alta",'Mapa final'!$AF$28="Catastrófico"),CONCATENATE("R3C",'Mapa final'!$T$28),"")</f>
        <v/>
      </c>
      <c r="AM18" s="43" t="str">
        <f>IF(AND('Mapa final'!$AD$29="Alta",'Mapa final'!$AF$29="Catastrófico"),CONCATENATE("R3C",'Mapa final'!$T$29),"")</f>
        <v/>
      </c>
      <c r="AN18" s="69"/>
      <c r="AO18" s="521"/>
      <c r="AP18" s="522"/>
      <c r="AQ18" s="522"/>
      <c r="AR18" s="522"/>
      <c r="AS18" s="522"/>
      <c r="AT18" s="523"/>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row>
    <row r="19" spans="1:76" ht="15" customHeight="1" x14ac:dyDescent="0.25">
      <c r="A19" s="69"/>
      <c r="B19" s="432"/>
      <c r="C19" s="432"/>
      <c r="D19" s="433"/>
      <c r="E19" s="531"/>
      <c r="F19" s="530"/>
      <c r="G19" s="530"/>
      <c r="H19" s="530"/>
      <c r="I19" s="530"/>
      <c r="J19" s="53" t="str">
        <f>IF(AND('Mapa final'!$AD$30="Alta",'Mapa final'!$AF$30="Leve"),CONCATENATE("R4C",'Mapa final'!$T$30),"")</f>
        <v/>
      </c>
      <c r="K19" s="54" t="str">
        <f>IF(AND('Mapa final'!$AD$31="Alta",'Mapa final'!$AF$31="Leve"),CONCATENATE("R4C",'Mapa final'!$T$31),"")</f>
        <v/>
      </c>
      <c r="L19" s="54" t="str">
        <f>IF(AND('Mapa final'!$AD$32="Alta",'Mapa final'!$AF$32="Leve"),CONCATENATE("R4C",'Mapa final'!$T$32),"")</f>
        <v/>
      </c>
      <c r="M19" s="54" t="str">
        <f>IF(AND('Mapa final'!$AD$33="Alta",'Mapa final'!$AF$33="Leve"),CONCATENATE("R4C",'Mapa final'!$T$33),"")</f>
        <v/>
      </c>
      <c r="N19" s="54" t="str">
        <f>IF(AND('Mapa final'!$AD$34="Alta",'Mapa final'!$AF$34="Leve"),CONCATENATE("R4C",'Mapa final'!$T$34),"")</f>
        <v/>
      </c>
      <c r="O19" s="55" t="str">
        <f>IF(AND('Mapa final'!$AD$35="Alta",'Mapa final'!$AF$35="Leve"),CONCATENATE("R4C",'Mapa final'!$T$35),"")</f>
        <v/>
      </c>
      <c r="P19" s="53" t="str">
        <f>IF(AND('Mapa final'!$AD$30="Alta",'Mapa final'!$AF$30="Menor"),CONCATENATE("R4C",'Mapa final'!$T$30),"")</f>
        <v/>
      </c>
      <c r="Q19" s="54" t="str">
        <f>IF(AND('Mapa final'!$AD$31="Alta",'Mapa final'!$AF$31="Menor"),CONCATENATE("R4C",'Mapa final'!$T$31),"")</f>
        <v/>
      </c>
      <c r="R19" s="54" t="str">
        <f>IF(AND('Mapa final'!$AD$32="Alta",'Mapa final'!$AF$32="Menor"),CONCATENATE("R4C",'Mapa final'!$T$32),"")</f>
        <v/>
      </c>
      <c r="S19" s="54" t="str">
        <f>IF(AND('Mapa final'!$AD$33="Alta",'Mapa final'!$AF$33="Menor"),CONCATENATE("R4C",'Mapa final'!$T$33),"")</f>
        <v/>
      </c>
      <c r="T19" s="54" t="str">
        <f>IF(AND('Mapa final'!$AD$34="Alta",'Mapa final'!$AF$34="Menor"),CONCATENATE("R4C",'Mapa final'!$T$34),"")</f>
        <v/>
      </c>
      <c r="U19" s="55" t="str">
        <f>IF(AND('Mapa final'!$AD$35="Alta",'Mapa final'!$AF$35="Menor"),CONCATENATE("R4C",'Mapa final'!$T$35),"")</f>
        <v/>
      </c>
      <c r="V19" s="38" t="str">
        <f>IF(AND('Mapa final'!$AD$30="Alta",'Mapa final'!$AF$30="Moderado"),CONCATENATE("R4C",'Mapa final'!$T$30),"")</f>
        <v/>
      </c>
      <c r="W19" s="39" t="str">
        <f>IF(AND('Mapa final'!$AD$31="Alta",'Mapa final'!$AF$31="Moderado"),CONCATENATE("R4C",'Mapa final'!$T$31),"")</f>
        <v/>
      </c>
      <c r="X19" s="39" t="str">
        <f>IF(AND('Mapa final'!$AD$32="Alta",'Mapa final'!$AF$32="Moderado"),CONCATENATE("R4C",'Mapa final'!$T$32),"")</f>
        <v/>
      </c>
      <c r="Y19" s="39" t="str">
        <f>IF(AND('Mapa final'!$AD$33="Alta",'Mapa final'!$AF$33="Moderado"),CONCATENATE("R4C",'Mapa final'!$T$33),"")</f>
        <v/>
      </c>
      <c r="Z19" s="39" t="str">
        <f>IF(AND('Mapa final'!$AD$34="Alta",'Mapa final'!$AF$34="Moderado"),CONCATENATE("R4C",'Mapa final'!$T$34),"")</f>
        <v/>
      </c>
      <c r="AA19" s="40" t="str">
        <f>IF(AND('Mapa final'!$AD$35="Alta",'Mapa final'!$AF$35="Moderado"),CONCATENATE("R4C",'Mapa final'!$T$35),"")</f>
        <v/>
      </c>
      <c r="AB19" s="38" t="str">
        <f>IF(AND('Mapa final'!$AD$30="Alta",'Mapa final'!$AF$30="Mayor"),CONCATENATE("R4C",'Mapa final'!$T$30),"")</f>
        <v/>
      </c>
      <c r="AC19" s="39" t="str">
        <f>IF(AND('Mapa final'!$AD$31="Alta",'Mapa final'!$AF$31="Mayor"),CONCATENATE("R4C",'Mapa final'!$T$31),"")</f>
        <v/>
      </c>
      <c r="AD19" s="39" t="str">
        <f>IF(AND('Mapa final'!$AD$32="Alta",'Mapa final'!$AF$32="Mayor"),CONCATENATE("R4C",'Mapa final'!$T$32),"")</f>
        <v/>
      </c>
      <c r="AE19" s="39" t="str">
        <f>IF(AND('Mapa final'!$AD$33="Alta",'Mapa final'!$AF$33="Mayor"),CONCATENATE("R4C",'Mapa final'!$T$33),"")</f>
        <v/>
      </c>
      <c r="AF19" s="39" t="str">
        <f>IF(AND('Mapa final'!$AD$34="Alta",'Mapa final'!$AF$34="Mayor"),CONCATENATE("R4C",'Mapa final'!$T$34),"")</f>
        <v/>
      </c>
      <c r="AG19" s="40" t="str">
        <f>IF(AND('Mapa final'!$AD$35="Alta",'Mapa final'!$AF$35="Mayor"),CONCATENATE("R4C",'Mapa final'!$T$35),"")</f>
        <v/>
      </c>
      <c r="AH19" s="41" t="str">
        <f>IF(AND('Mapa final'!$AD$30="Alta",'Mapa final'!$AF$30="Catastrófico"),CONCATENATE("R4C",'Mapa final'!$T$30),"")</f>
        <v/>
      </c>
      <c r="AI19" s="42" t="str">
        <f>IF(AND('Mapa final'!$AD$31="Alta",'Mapa final'!$AF$31="Catastrófico"),CONCATENATE("R4C",'Mapa final'!$T$31),"")</f>
        <v/>
      </c>
      <c r="AJ19" s="42" t="str">
        <f>IF(AND('Mapa final'!$AD$32="Alta",'Mapa final'!$AF$32="Catastrófico"),CONCATENATE("R4C",'Mapa final'!$T$32),"")</f>
        <v/>
      </c>
      <c r="AK19" s="42" t="str">
        <f>IF(AND('Mapa final'!$AD$33="Alta",'Mapa final'!$AF$33="Catastrófico"),CONCATENATE("R4C",'Mapa final'!$T$33),"")</f>
        <v/>
      </c>
      <c r="AL19" s="42" t="str">
        <f>IF(AND('Mapa final'!$AD$34="Alta",'Mapa final'!$AF$34="Catastrófico"),CONCATENATE("R4C",'Mapa final'!$T$34),"")</f>
        <v/>
      </c>
      <c r="AM19" s="43" t="str">
        <f>IF(AND('Mapa final'!$AD$35="Alta",'Mapa final'!$AF$35="Catastrófico"),CONCATENATE("R4C",'Mapa final'!$T$35),"")</f>
        <v/>
      </c>
      <c r="AN19" s="69"/>
      <c r="AO19" s="521"/>
      <c r="AP19" s="522"/>
      <c r="AQ19" s="522"/>
      <c r="AR19" s="522"/>
      <c r="AS19" s="522"/>
      <c r="AT19" s="523"/>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row>
    <row r="20" spans="1:76" ht="15" customHeight="1" x14ac:dyDescent="0.25">
      <c r="A20" s="69"/>
      <c r="B20" s="432"/>
      <c r="C20" s="432"/>
      <c r="D20" s="433"/>
      <c r="E20" s="531"/>
      <c r="F20" s="530"/>
      <c r="G20" s="530"/>
      <c r="H20" s="530"/>
      <c r="I20" s="530"/>
      <c r="J20" s="53" t="str">
        <f>IF(AND('Mapa final'!$AD$36="Alta",'Mapa final'!$AF$36="Leve"),CONCATENATE("R5C",'Mapa final'!$T$36),"")</f>
        <v/>
      </c>
      <c r="K20" s="54" t="str">
        <f>IF(AND('Mapa final'!$AD$37="Alta",'Mapa final'!$AF$37="Leve"),CONCATENATE("R5C",'Mapa final'!$T$37),"")</f>
        <v/>
      </c>
      <c r="L20" s="54" t="str">
        <f>IF(AND('Mapa final'!$AD$38="Alta",'Mapa final'!$AF$38="Leve"),CONCATENATE("R5C",'Mapa final'!$T$38),"")</f>
        <v/>
      </c>
      <c r="M20" s="54" t="str">
        <f>IF(AND('Mapa final'!$AD$39="Alta",'Mapa final'!$AF$39="Leve"),CONCATENATE("R5C",'Mapa final'!$T$39),"")</f>
        <v/>
      </c>
      <c r="N20" s="54" t="str">
        <f>IF(AND('Mapa final'!$AD$40="Alta",'Mapa final'!$AF$40="Leve"),CONCATENATE("R5C",'Mapa final'!$T$40),"")</f>
        <v/>
      </c>
      <c r="O20" s="55" t="str">
        <f>IF(AND('Mapa final'!$AD$41="Alta",'Mapa final'!$AF$41="Leve"),CONCATENATE("R5C",'Mapa final'!$T$41),"")</f>
        <v/>
      </c>
      <c r="P20" s="53" t="str">
        <f>IF(AND('Mapa final'!$AD$36="Alta",'Mapa final'!$AF$36="Menor"),CONCATENATE("R5C",'Mapa final'!$T$36),"")</f>
        <v/>
      </c>
      <c r="Q20" s="54" t="str">
        <f>IF(AND('Mapa final'!$AD$37="Alta",'Mapa final'!$AF$37="Menor"),CONCATENATE("R5C",'Mapa final'!$T$37),"")</f>
        <v/>
      </c>
      <c r="R20" s="54" t="str">
        <f>IF(AND('Mapa final'!$AD$38="Alta",'Mapa final'!$AF$38="Menor"),CONCATENATE("R5C",'Mapa final'!$T$38),"")</f>
        <v/>
      </c>
      <c r="S20" s="54" t="str">
        <f>IF(AND('Mapa final'!$AD$39="Alta",'Mapa final'!$AF$39="Menor"),CONCATENATE("R5C",'Mapa final'!$T$39),"")</f>
        <v/>
      </c>
      <c r="T20" s="54" t="str">
        <f>IF(AND('Mapa final'!$AD$40="Alta",'Mapa final'!$AF$40="Menor"),CONCATENATE("R5C",'Mapa final'!$T$40),"")</f>
        <v/>
      </c>
      <c r="U20" s="55" t="str">
        <f>IF(AND('Mapa final'!$AD$41="Alta",'Mapa final'!$AF$41="Menor"),CONCATENATE("R5C",'Mapa final'!$T$41),"")</f>
        <v/>
      </c>
      <c r="V20" s="38" t="str">
        <f>IF(AND('Mapa final'!$AD$36="Alta",'Mapa final'!$AF$36="Moderado"),CONCATENATE("R5C",'Mapa final'!$T$36),"")</f>
        <v/>
      </c>
      <c r="W20" s="39" t="str">
        <f>IF(AND('Mapa final'!$AD$37="Alta",'Mapa final'!$AF$37="Moderado"),CONCATENATE("R5C",'Mapa final'!$T$37),"")</f>
        <v/>
      </c>
      <c r="X20" s="39" t="str">
        <f>IF(AND('Mapa final'!$AD$38="Alta",'Mapa final'!$AF$38="Moderado"),CONCATENATE("R5C",'Mapa final'!$T$38),"")</f>
        <v/>
      </c>
      <c r="Y20" s="39" t="str">
        <f>IF(AND('Mapa final'!$AD$39="Alta",'Mapa final'!$AF$39="Moderado"),CONCATENATE("R5C",'Mapa final'!$T$39),"")</f>
        <v/>
      </c>
      <c r="Z20" s="39" t="str">
        <f>IF(AND('Mapa final'!$AD$40="Alta",'Mapa final'!$AF$40="Moderado"),CONCATENATE("R5C",'Mapa final'!$T$40),"")</f>
        <v/>
      </c>
      <c r="AA20" s="40" t="str">
        <f>IF(AND('Mapa final'!$AD$41="Alta",'Mapa final'!$AF$41="Moderado"),CONCATENATE("R5C",'Mapa final'!$T$41),"")</f>
        <v/>
      </c>
      <c r="AB20" s="38" t="str">
        <f>IF(AND('Mapa final'!$AD$36="Alta",'Mapa final'!$AF$36="Mayor"),CONCATENATE("R5C",'Mapa final'!$T$36),"")</f>
        <v/>
      </c>
      <c r="AC20" s="39" t="str">
        <f>IF(AND('Mapa final'!$AD$37="Alta",'Mapa final'!$AF$37="Mayor"),CONCATENATE("R5C",'Mapa final'!$T$37),"")</f>
        <v/>
      </c>
      <c r="AD20" s="39" t="str">
        <f>IF(AND('Mapa final'!$AD$38="Alta",'Mapa final'!$AF$38="Mayor"),CONCATENATE("R5C",'Mapa final'!$T$38),"")</f>
        <v/>
      </c>
      <c r="AE20" s="39" t="str">
        <f>IF(AND('Mapa final'!$AD$39="Alta",'Mapa final'!$AF$39="Mayor"),CONCATENATE("R5C",'Mapa final'!$T$39),"")</f>
        <v/>
      </c>
      <c r="AF20" s="39" t="str">
        <f>IF(AND('Mapa final'!$AD$40="Alta",'Mapa final'!$AF$40="Mayor"),CONCATENATE("R5C",'Mapa final'!$T$40),"")</f>
        <v/>
      </c>
      <c r="AG20" s="40" t="str">
        <f>IF(AND('Mapa final'!$AD$41="Alta",'Mapa final'!$AF$41="Mayor"),CONCATENATE("R5C",'Mapa final'!$T$41),"")</f>
        <v/>
      </c>
      <c r="AH20" s="41" t="str">
        <f>IF(AND('Mapa final'!$AD$36="Alta",'Mapa final'!$AF$36="Catastrófico"),CONCATENATE("R5C",'Mapa final'!$T$36),"")</f>
        <v/>
      </c>
      <c r="AI20" s="42" t="str">
        <f>IF(AND('Mapa final'!$AD$37="Alta",'Mapa final'!$AF$37="Catastrófico"),CONCATENATE("R5C",'Mapa final'!$T$37),"")</f>
        <v/>
      </c>
      <c r="AJ20" s="42" t="str">
        <f>IF(AND('Mapa final'!$AD$38="Alta",'Mapa final'!$AF$38="Catastrófico"),CONCATENATE("R5C",'Mapa final'!$T$38),"")</f>
        <v/>
      </c>
      <c r="AK20" s="42" t="str">
        <f>IF(AND('Mapa final'!$AD$39="Alta",'Mapa final'!$AF$39="Catastrófico"),CONCATENATE("R5C",'Mapa final'!$T$39),"")</f>
        <v/>
      </c>
      <c r="AL20" s="42" t="str">
        <f>IF(AND('Mapa final'!$AD$40="Alta",'Mapa final'!$AF$40="Catastrófico"),CONCATENATE("R5C",'Mapa final'!$T$40),"")</f>
        <v/>
      </c>
      <c r="AM20" s="43" t="str">
        <f>IF(AND('Mapa final'!$AD$41="Alta",'Mapa final'!$AF$41="Catastrófico"),CONCATENATE("R5C",'Mapa final'!$T$41),"")</f>
        <v/>
      </c>
      <c r="AN20" s="69"/>
      <c r="AO20" s="521"/>
      <c r="AP20" s="522"/>
      <c r="AQ20" s="522"/>
      <c r="AR20" s="522"/>
      <c r="AS20" s="522"/>
      <c r="AT20" s="523"/>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row>
    <row r="21" spans="1:76" ht="15" customHeight="1" x14ac:dyDescent="0.25">
      <c r="A21" s="69"/>
      <c r="B21" s="432"/>
      <c r="C21" s="432"/>
      <c r="D21" s="433"/>
      <c r="E21" s="531"/>
      <c r="F21" s="530"/>
      <c r="G21" s="530"/>
      <c r="H21" s="530"/>
      <c r="I21" s="530"/>
      <c r="J21" s="53" t="str">
        <f>IF(AND('Mapa final'!$AD$42="Alta",'Mapa final'!$AF$42="Leve"),CONCATENATE("R6C",'Mapa final'!$T$42),"")</f>
        <v/>
      </c>
      <c r="K21" s="54" t="str">
        <f>IF(AND('Mapa final'!$AD$43="Alta",'Mapa final'!$AF$43="Leve"),CONCATENATE("R6C",'Mapa final'!$T$43),"")</f>
        <v/>
      </c>
      <c r="L21" s="54" t="str">
        <f>IF(AND('Mapa final'!$AD$44="Alta",'Mapa final'!$AF$44="Leve"),CONCATENATE("R6C",'Mapa final'!$T$44),"")</f>
        <v/>
      </c>
      <c r="M21" s="54" t="str">
        <f>IF(AND('Mapa final'!$AD$45="Alta",'Mapa final'!$AF$45="Leve"),CONCATENATE("R6C",'Mapa final'!$T$45),"")</f>
        <v/>
      </c>
      <c r="N21" s="54" t="str">
        <f>IF(AND('Mapa final'!$AD$46="Alta",'Mapa final'!$AF$46="Leve"),CONCATENATE("R6C",'Mapa final'!$T$46),"")</f>
        <v/>
      </c>
      <c r="O21" s="55" t="str">
        <f>IF(AND('Mapa final'!$AD$47="Alta",'Mapa final'!$AF$47="Leve"),CONCATENATE("R6C",'Mapa final'!$T$47),"")</f>
        <v/>
      </c>
      <c r="P21" s="53" t="str">
        <f>IF(AND('Mapa final'!$AD$42="Alta",'Mapa final'!$AF$42="Menor"),CONCATENATE("R6C",'Mapa final'!$T$42),"")</f>
        <v/>
      </c>
      <c r="Q21" s="54" t="str">
        <f>IF(AND('Mapa final'!$AD$43="Alta",'Mapa final'!$AF$43="Menor"),CONCATENATE("R6C",'Mapa final'!$T$43),"")</f>
        <v/>
      </c>
      <c r="R21" s="54" t="str">
        <f>IF(AND('Mapa final'!$AD$44="Alta",'Mapa final'!$AF$44="Menor"),CONCATENATE("R6C",'Mapa final'!$T$44),"")</f>
        <v/>
      </c>
      <c r="S21" s="54" t="str">
        <f>IF(AND('Mapa final'!$AD$45="Alta",'Mapa final'!$AF$45="Menor"),CONCATENATE("R6C",'Mapa final'!$T$45),"")</f>
        <v/>
      </c>
      <c r="T21" s="54" t="str">
        <f>IF(AND('Mapa final'!$AD$46="Alta",'Mapa final'!$AF$46="Menor"),CONCATENATE("R6C",'Mapa final'!$T$46),"")</f>
        <v/>
      </c>
      <c r="U21" s="55" t="str">
        <f>IF(AND('Mapa final'!$AD$47="Alta",'Mapa final'!$AF$47="Menor"),CONCATENATE("R6C",'Mapa final'!$T$47),"")</f>
        <v/>
      </c>
      <c r="V21" s="38" t="str">
        <f>IF(AND('Mapa final'!$AD$42="Alta",'Mapa final'!$AF$42="Moderado"),CONCATENATE("R6C",'Mapa final'!$T$42),"")</f>
        <v/>
      </c>
      <c r="W21" s="39" t="str">
        <f>IF(AND('Mapa final'!$AD$43="Alta",'Mapa final'!$AF$43="Moderado"),CONCATENATE("R6C",'Mapa final'!$T$43),"")</f>
        <v/>
      </c>
      <c r="X21" s="39" t="str">
        <f>IF(AND('Mapa final'!$AD$44="Alta",'Mapa final'!$AF$44="Moderado"),CONCATENATE("R6C",'Mapa final'!$T$44),"")</f>
        <v/>
      </c>
      <c r="Y21" s="39" t="str">
        <f>IF(AND('Mapa final'!$AD$45="Alta",'Mapa final'!$AF$45="Moderado"),CONCATENATE("R6C",'Mapa final'!$T$45),"")</f>
        <v/>
      </c>
      <c r="Z21" s="39" t="str">
        <f>IF(AND('Mapa final'!$AD$46="Alta",'Mapa final'!$AF$46="Moderado"),CONCATENATE("R6C",'Mapa final'!$T$46),"")</f>
        <v/>
      </c>
      <c r="AA21" s="40" t="str">
        <f>IF(AND('Mapa final'!$AD$47="Alta",'Mapa final'!$AF$47="Moderado"),CONCATENATE("R6C",'Mapa final'!$T$47),"")</f>
        <v/>
      </c>
      <c r="AB21" s="38" t="str">
        <f>IF(AND('Mapa final'!$AD$42="Alta",'Mapa final'!$AF$42="Mayor"),CONCATENATE("R6C",'Mapa final'!$T$42),"")</f>
        <v/>
      </c>
      <c r="AC21" s="39" t="str">
        <f>IF(AND('Mapa final'!$AD$43="Alta",'Mapa final'!$AF$43="Mayor"),CONCATENATE("R6C",'Mapa final'!$T$43),"")</f>
        <v/>
      </c>
      <c r="AD21" s="39" t="str">
        <f>IF(AND('Mapa final'!$AD$44="Alta",'Mapa final'!$AF$44="Mayor"),CONCATENATE("R6C",'Mapa final'!$T$44),"")</f>
        <v/>
      </c>
      <c r="AE21" s="39" t="str">
        <f>IF(AND('Mapa final'!$AD$45="Alta",'Mapa final'!$AF$45="Mayor"),CONCATENATE("R6C",'Mapa final'!$T$45),"")</f>
        <v/>
      </c>
      <c r="AF21" s="39" t="str">
        <f>IF(AND('Mapa final'!$AD$46="Alta",'Mapa final'!$AF$46="Mayor"),CONCATENATE("R6C",'Mapa final'!$T$46),"")</f>
        <v/>
      </c>
      <c r="AG21" s="40" t="str">
        <f>IF(AND('Mapa final'!$AD$47="Alta",'Mapa final'!$AF$47="Mayor"),CONCATENATE("R6C",'Mapa final'!$T$47),"")</f>
        <v/>
      </c>
      <c r="AH21" s="41" t="str">
        <f>IF(AND('Mapa final'!$AD$42="Alta",'Mapa final'!$AF$42="Catastrófico"),CONCATENATE("R6C",'Mapa final'!$T$42),"")</f>
        <v/>
      </c>
      <c r="AI21" s="42" t="str">
        <f>IF(AND('Mapa final'!$AD$43="Alta",'Mapa final'!$AF$43="Catastrófico"),CONCATENATE("R6C",'Mapa final'!$T$43),"")</f>
        <v/>
      </c>
      <c r="AJ21" s="42" t="str">
        <f>IF(AND('Mapa final'!$AD$44="Alta",'Mapa final'!$AF$44="Catastrófico"),CONCATENATE("R6C",'Mapa final'!$T$44),"")</f>
        <v/>
      </c>
      <c r="AK21" s="42" t="str">
        <f>IF(AND('Mapa final'!$AD$45="Alta",'Mapa final'!$AF$45="Catastrófico"),CONCATENATE("R6C",'Mapa final'!$T$45),"")</f>
        <v/>
      </c>
      <c r="AL21" s="42" t="str">
        <f>IF(AND('Mapa final'!$AD$46="Alta",'Mapa final'!$AF$46="Catastrófico"),CONCATENATE("R6C",'Mapa final'!$T$46),"")</f>
        <v/>
      </c>
      <c r="AM21" s="43" t="str">
        <f>IF(AND('Mapa final'!$AD$47="Alta",'Mapa final'!$AF$47="Catastrófico"),CONCATENATE("R6C",'Mapa final'!$T$47),"")</f>
        <v/>
      </c>
      <c r="AN21" s="69"/>
      <c r="AO21" s="521"/>
      <c r="AP21" s="522"/>
      <c r="AQ21" s="522"/>
      <c r="AR21" s="522"/>
      <c r="AS21" s="522"/>
      <c r="AT21" s="523"/>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row>
    <row r="22" spans="1:76" ht="15" customHeight="1" x14ac:dyDescent="0.25">
      <c r="A22" s="69"/>
      <c r="B22" s="432"/>
      <c r="C22" s="432"/>
      <c r="D22" s="433"/>
      <c r="E22" s="531"/>
      <c r="F22" s="530"/>
      <c r="G22" s="530"/>
      <c r="H22" s="530"/>
      <c r="I22" s="530"/>
      <c r="J22" s="53" t="str">
        <f>IF(AND('Mapa final'!$AD$48="Alta",'Mapa final'!$AF$48="Leve"),CONCATENATE("R7C",'Mapa final'!$T$48),"")</f>
        <v/>
      </c>
      <c r="K22" s="54" t="str">
        <f>IF(AND('Mapa final'!$AD$49="Alta",'Mapa final'!$AF$49="Leve"),CONCATENATE("R7C",'Mapa final'!$T$49),"")</f>
        <v/>
      </c>
      <c r="L22" s="54" t="str">
        <f>IF(AND('Mapa final'!$AD$50="Alta",'Mapa final'!$AF$50="Leve"),CONCATENATE("R7C",'Mapa final'!$T$50),"")</f>
        <v/>
      </c>
      <c r="M22" s="54" t="str">
        <f>IF(AND('Mapa final'!$AD$51="Alta",'Mapa final'!$AF$51="Leve"),CONCATENATE("R7C",'Mapa final'!$T$51),"")</f>
        <v/>
      </c>
      <c r="N22" s="54" t="str">
        <f>IF(AND('Mapa final'!$AD$52="Alta",'Mapa final'!$AF$52="Leve"),CONCATENATE("R7C",'Mapa final'!$T$52),"")</f>
        <v/>
      </c>
      <c r="O22" s="55" t="str">
        <f>IF(AND('Mapa final'!$AD$53="Alta",'Mapa final'!$AF$53="Leve"),CONCATENATE("R7C",'Mapa final'!$T$53),"")</f>
        <v/>
      </c>
      <c r="P22" s="53" t="str">
        <f>IF(AND('Mapa final'!$AD$48="Alta",'Mapa final'!$AF$48="Menor"),CONCATENATE("R7C",'Mapa final'!$T$48),"")</f>
        <v/>
      </c>
      <c r="Q22" s="54" t="str">
        <f>IF(AND('Mapa final'!$AD$49="Alta",'Mapa final'!$AF$49="Menor"),CONCATENATE("R7C",'Mapa final'!$T$49),"")</f>
        <v/>
      </c>
      <c r="R22" s="54" t="str">
        <f>IF(AND('Mapa final'!$AD$50="Alta",'Mapa final'!$AF$50="Menor"),CONCATENATE("R7C",'Mapa final'!$T$50),"")</f>
        <v/>
      </c>
      <c r="S22" s="54" t="str">
        <f>IF(AND('Mapa final'!$AD$51="Alta",'Mapa final'!$AF$51="Menor"),CONCATENATE("R7C",'Mapa final'!$T$51),"")</f>
        <v/>
      </c>
      <c r="T22" s="54" t="str">
        <f>IF(AND('Mapa final'!$AD$52="Alta",'Mapa final'!$AF$52="Menor"),CONCATENATE("R7C",'Mapa final'!$T$52),"")</f>
        <v/>
      </c>
      <c r="U22" s="55" t="str">
        <f>IF(AND('Mapa final'!$AD$53="Alta",'Mapa final'!$AF$53="Menor"),CONCATENATE("R7C",'Mapa final'!$T$53),"")</f>
        <v/>
      </c>
      <c r="V22" s="38" t="str">
        <f>IF(AND('Mapa final'!$AD$48="Alta",'Mapa final'!$AF$48="Moderado"),CONCATENATE("R7C",'Mapa final'!$T$48),"")</f>
        <v/>
      </c>
      <c r="W22" s="39" t="str">
        <f>IF(AND('Mapa final'!$AD$49="Alta",'Mapa final'!$AF$49="Moderado"),CONCATENATE("R7C",'Mapa final'!$T$49),"")</f>
        <v/>
      </c>
      <c r="X22" s="39" t="str">
        <f>IF(AND('Mapa final'!$AD$50="Alta",'Mapa final'!$AF$50="Moderado"),CONCATENATE("R7C",'Mapa final'!$T$50),"")</f>
        <v/>
      </c>
      <c r="Y22" s="39" t="str">
        <f>IF(AND('Mapa final'!$AD$51="Alta",'Mapa final'!$AF$51="Moderado"),CONCATENATE("R7C",'Mapa final'!$T$51),"")</f>
        <v/>
      </c>
      <c r="Z22" s="39" t="str">
        <f>IF(AND('Mapa final'!$AD$52="Alta",'Mapa final'!$AF$52="Moderado"),CONCATENATE("R7C",'Mapa final'!$T$52),"")</f>
        <v/>
      </c>
      <c r="AA22" s="40" t="str">
        <f>IF(AND('Mapa final'!$AD$53="Alta",'Mapa final'!$AF$53="Moderado"),CONCATENATE("R7C",'Mapa final'!$T$53),"")</f>
        <v/>
      </c>
      <c r="AB22" s="38" t="str">
        <f>IF(AND('Mapa final'!$AD$48="Alta",'Mapa final'!$AF$48="Mayor"),CONCATENATE("R7C",'Mapa final'!$T$48),"")</f>
        <v/>
      </c>
      <c r="AC22" s="39" t="str">
        <f>IF(AND('Mapa final'!$AD$49="Alta",'Mapa final'!$AF$49="Mayor"),CONCATENATE("R7C",'Mapa final'!$T$49),"")</f>
        <v/>
      </c>
      <c r="AD22" s="39" t="str">
        <f>IF(AND('Mapa final'!$AD$50="Alta",'Mapa final'!$AF$50="Mayor"),CONCATENATE("R7C",'Mapa final'!$T$50),"")</f>
        <v/>
      </c>
      <c r="AE22" s="39" t="str">
        <f>IF(AND('Mapa final'!$AD$51="Alta",'Mapa final'!$AF$51="Mayor"),CONCATENATE("R7C",'Mapa final'!$T$51),"")</f>
        <v/>
      </c>
      <c r="AF22" s="39" t="str">
        <f>IF(AND('Mapa final'!$AD$52="Alta",'Mapa final'!$AF$52="Mayor"),CONCATENATE("R7C",'Mapa final'!$T$52),"")</f>
        <v/>
      </c>
      <c r="AG22" s="40" t="str">
        <f>IF(AND('Mapa final'!$AD$53="Alta",'Mapa final'!$AF$53="Mayor"),CONCATENATE("R7C",'Mapa final'!$T$53),"")</f>
        <v/>
      </c>
      <c r="AH22" s="41" t="str">
        <f>IF(AND('Mapa final'!$AD$48="Alta",'Mapa final'!$AF$48="Catastrófico"),CONCATENATE("R7C",'Mapa final'!$T$48),"")</f>
        <v/>
      </c>
      <c r="AI22" s="42" t="str">
        <f>IF(AND('Mapa final'!$AD$49="Alta",'Mapa final'!$AF$49="Catastrófico"),CONCATENATE("R7C",'Mapa final'!$T$49),"")</f>
        <v/>
      </c>
      <c r="AJ22" s="42" t="str">
        <f>IF(AND('Mapa final'!$AD$50="Alta",'Mapa final'!$AF$50="Catastrófico"),CONCATENATE("R7C",'Mapa final'!$T$50),"")</f>
        <v/>
      </c>
      <c r="AK22" s="42" t="str">
        <f>IF(AND('Mapa final'!$AD$51="Alta",'Mapa final'!$AF$51="Catastrófico"),CONCATENATE("R7C",'Mapa final'!$T$51),"")</f>
        <v/>
      </c>
      <c r="AL22" s="42" t="str">
        <f>IF(AND('Mapa final'!$AD$52="Alta",'Mapa final'!$AF$52="Catastrófico"),CONCATENATE("R7C",'Mapa final'!$T$52),"")</f>
        <v/>
      </c>
      <c r="AM22" s="43" t="str">
        <f>IF(AND('Mapa final'!$AD$53="Alta",'Mapa final'!$AF$53="Catastrófico"),CONCATENATE("R7C",'Mapa final'!$T$53),"")</f>
        <v/>
      </c>
      <c r="AN22" s="69"/>
      <c r="AO22" s="521"/>
      <c r="AP22" s="522"/>
      <c r="AQ22" s="522"/>
      <c r="AR22" s="522"/>
      <c r="AS22" s="522"/>
      <c r="AT22" s="523"/>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row>
    <row r="23" spans="1:76" ht="15" customHeight="1" x14ac:dyDescent="0.25">
      <c r="A23" s="69"/>
      <c r="B23" s="432"/>
      <c r="C23" s="432"/>
      <c r="D23" s="433"/>
      <c r="E23" s="531"/>
      <c r="F23" s="530"/>
      <c r="G23" s="530"/>
      <c r="H23" s="530"/>
      <c r="I23" s="530"/>
      <c r="J23" s="53" t="str">
        <f>IF(AND('Mapa final'!$AD$54="Alta",'Mapa final'!$AF$54="Leve"),CONCATENATE("R8C",'Mapa final'!$T$54),"")</f>
        <v/>
      </c>
      <c r="K23" s="54" t="str">
        <f>IF(AND('Mapa final'!$AD$55="Alta",'Mapa final'!$AF$55="Leve"),CONCATENATE("R8C",'Mapa final'!$T$55),"")</f>
        <v/>
      </c>
      <c r="L23" s="54" t="str">
        <f>IF(AND('Mapa final'!$AD$56="Alta",'Mapa final'!$AF$56="Leve"),CONCATENATE("R8C",'Mapa final'!$T$56),"")</f>
        <v/>
      </c>
      <c r="M23" s="54" t="str">
        <f>IF(AND('Mapa final'!$AD$57="Alta",'Mapa final'!$AF$57="Leve"),CONCATENATE("R8C",'Mapa final'!$T$57),"")</f>
        <v/>
      </c>
      <c r="N23" s="54" t="str">
        <f>IF(AND('Mapa final'!$AD$58="Alta",'Mapa final'!$AF$58="Leve"),CONCATENATE("R8C",'Mapa final'!$T$58),"")</f>
        <v/>
      </c>
      <c r="O23" s="55" t="str">
        <f>IF(AND('Mapa final'!$AD$59="Alta",'Mapa final'!$AF$59="Leve"),CONCATENATE("R8C",'Mapa final'!$T$59),"")</f>
        <v/>
      </c>
      <c r="P23" s="53" t="str">
        <f>IF(AND('Mapa final'!$AD$54="Alta",'Mapa final'!$AF$54="Menor"),CONCATENATE("R8C",'Mapa final'!$T$54),"")</f>
        <v/>
      </c>
      <c r="Q23" s="54" t="str">
        <f>IF(AND('Mapa final'!$AD$55="Alta",'Mapa final'!$AF$55="Menor"),CONCATENATE("R8C",'Mapa final'!$T$55),"")</f>
        <v/>
      </c>
      <c r="R23" s="54" t="str">
        <f>IF(AND('Mapa final'!$AD$56="Alta",'Mapa final'!$AF$56="Menor"),CONCATENATE("R8C",'Mapa final'!$T$56),"")</f>
        <v/>
      </c>
      <c r="S23" s="54" t="str">
        <f>IF(AND('Mapa final'!$AD$57="Alta",'Mapa final'!$AF$57="Menor"),CONCATENATE("R8C",'Mapa final'!$T$57),"")</f>
        <v/>
      </c>
      <c r="T23" s="54" t="str">
        <f>IF(AND('Mapa final'!$AD$58="Alta",'Mapa final'!$AF$58="Menor"),CONCATENATE("R8C",'Mapa final'!$T$58),"")</f>
        <v/>
      </c>
      <c r="U23" s="55" t="str">
        <f>IF(AND('Mapa final'!$AD$59="Alta",'Mapa final'!$AF$59="Menor"),CONCATENATE("R8C",'Mapa final'!$T$59),"")</f>
        <v/>
      </c>
      <c r="V23" s="38" t="str">
        <f>IF(AND('Mapa final'!$AD$54="Alta",'Mapa final'!$AF$54="Moderado"),CONCATENATE("R8C",'Mapa final'!$T$54),"")</f>
        <v/>
      </c>
      <c r="W23" s="39" t="str">
        <f>IF(AND('Mapa final'!$AD$55="Alta",'Mapa final'!$AF$55="Moderado"),CONCATENATE("R8C",'Mapa final'!$T$55),"")</f>
        <v/>
      </c>
      <c r="X23" s="39" t="str">
        <f>IF(AND('Mapa final'!$AD$56="Alta",'Mapa final'!$AF$56="Moderado"),CONCATENATE("R8C",'Mapa final'!$T$56),"")</f>
        <v/>
      </c>
      <c r="Y23" s="39" t="str">
        <f>IF(AND('Mapa final'!$AD$57="Alta",'Mapa final'!$AF$57="Moderado"),CONCATENATE("R8C",'Mapa final'!$T$57),"")</f>
        <v/>
      </c>
      <c r="Z23" s="39" t="str">
        <f>IF(AND('Mapa final'!$AD$58="Alta",'Mapa final'!$AF$58="Moderado"),CONCATENATE("R8C",'Mapa final'!$T$58),"")</f>
        <v/>
      </c>
      <c r="AA23" s="40" t="str">
        <f>IF(AND('Mapa final'!$AD$59="Alta",'Mapa final'!$AF$59="Moderado"),CONCATENATE("R8C",'Mapa final'!$T$59),"")</f>
        <v/>
      </c>
      <c r="AB23" s="38" t="str">
        <f>IF(AND('Mapa final'!$AD$54="Alta",'Mapa final'!$AF$54="Mayor"),CONCATENATE("R8C",'Mapa final'!$T$54),"")</f>
        <v/>
      </c>
      <c r="AC23" s="39" t="str">
        <f>IF(AND('Mapa final'!$AD$55="Alta",'Mapa final'!$AF$55="Mayor"),CONCATENATE("R8C",'Mapa final'!$T$55),"")</f>
        <v/>
      </c>
      <c r="AD23" s="39" t="str">
        <f>IF(AND('Mapa final'!$AD$56="Alta",'Mapa final'!$AF$56="Mayor"),CONCATENATE("R8C",'Mapa final'!$T$56),"")</f>
        <v/>
      </c>
      <c r="AE23" s="39" t="str">
        <f>IF(AND('Mapa final'!$AD$57="Alta",'Mapa final'!$AF$57="Mayor"),CONCATENATE("R8C",'Mapa final'!$T$57),"")</f>
        <v/>
      </c>
      <c r="AF23" s="39" t="str">
        <f>IF(AND('Mapa final'!$AD$58="Alta",'Mapa final'!$AF$58="Mayor"),CONCATENATE("R8C",'Mapa final'!$T$58),"")</f>
        <v/>
      </c>
      <c r="AG23" s="40" t="str">
        <f>IF(AND('Mapa final'!$AD$59="Alta",'Mapa final'!$AF$59="Mayor"),CONCATENATE("R8C",'Mapa final'!$T$59),"")</f>
        <v/>
      </c>
      <c r="AH23" s="41" t="str">
        <f>IF(AND('Mapa final'!$AD$54="Alta",'Mapa final'!$AF$54="Catastrófico"),CONCATENATE("R8C",'Mapa final'!$T$54),"")</f>
        <v/>
      </c>
      <c r="AI23" s="42" t="str">
        <f>IF(AND('Mapa final'!$AD$55="Alta",'Mapa final'!$AF$55="Catastrófico"),CONCATENATE("R8C",'Mapa final'!$T$55),"")</f>
        <v/>
      </c>
      <c r="AJ23" s="42" t="str">
        <f>IF(AND('Mapa final'!$AD$56="Alta",'Mapa final'!$AF$56="Catastrófico"),CONCATENATE("R8C",'Mapa final'!$T$56),"")</f>
        <v/>
      </c>
      <c r="AK23" s="42" t="str">
        <f>IF(AND('Mapa final'!$AD$57="Alta",'Mapa final'!$AF$57="Catastrófico"),CONCATENATE("R8C",'Mapa final'!$T$57),"")</f>
        <v/>
      </c>
      <c r="AL23" s="42" t="str">
        <f>IF(AND('Mapa final'!$AD$58="Alta",'Mapa final'!$AF$58="Catastrófico"),CONCATENATE("R8C",'Mapa final'!$T$58),"")</f>
        <v/>
      </c>
      <c r="AM23" s="43" t="str">
        <f>IF(AND('Mapa final'!$AD$59="Alta",'Mapa final'!$AF$59="Catastrófico"),CONCATENATE("R8C",'Mapa final'!$T$59),"")</f>
        <v/>
      </c>
      <c r="AN23" s="69"/>
      <c r="AO23" s="521"/>
      <c r="AP23" s="522"/>
      <c r="AQ23" s="522"/>
      <c r="AR23" s="522"/>
      <c r="AS23" s="522"/>
      <c r="AT23" s="523"/>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row>
    <row r="24" spans="1:76" ht="15" customHeight="1" x14ac:dyDescent="0.25">
      <c r="A24" s="69"/>
      <c r="B24" s="432"/>
      <c r="C24" s="432"/>
      <c r="D24" s="433"/>
      <c r="E24" s="531"/>
      <c r="F24" s="530"/>
      <c r="G24" s="530"/>
      <c r="H24" s="530"/>
      <c r="I24" s="530"/>
      <c r="J24" s="53" t="str">
        <f>IF(AND('Mapa final'!$AD$60="Alta",'Mapa final'!$AF$60="Leve"),CONCATENATE("R9C",'Mapa final'!$T$60),"")</f>
        <v/>
      </c>
      <c r="K24" s="54" t="str">
        <f>IF(AND('Mapa final'!$AD$61="Alta",'Mapa final'!$AF$61="Leve"),CONCATENATE("R9C",'Mapa final'!$T$61),"")</f>
        <v/>
      </c>
      <c r="L24" s="54" t="str">
        <f>IF(AND('Mapa final'!$AD$62="Alta",'Mapa final'!$AF$62="Leve"),CONCATENATE("R9C",'Mapa final'!$T$62),"")</f>
        <v/>
      </c>
      <c r="M24" s="54" t="str">
        <f>IF(AND('Mapa final'!$AD$63="Alta",'Mapa final'!$AF$63="Leve"),CONCATENATE("R9C",'Mapa final'!$T$63),"")</f>
        <v/>
      </c>
      <c r="N24" s="54" t="str">
        <f>IF(AND('Mapa final'!$AD$64="Alta",'Mapa final'!$AF$64="Leve"),CONCATENATE("R9C",'Mapa final'!$T$64),"")</f>
        <v/>
      </c>
      <c r="O24" s="55" t="str">
        <f>IF(AND('Mapa final'!$AD$65="Alta",'Mapa final'!$AF$65="Leve"),CONCATENATE("R9C",'Mapa final'!$T$65),"")</f>
        <v/>
      </c>
      <c r="P24" s="53" t="str">
        <f>IF(AND('Mapa final'!$AD$60="Alta",'Mapa final'!$AF$60="Menor"),CONCATENATE("R9C",'Mapa final'!$T$60),"")</f>
        <v/>
      </c>
      <c r="Q24" s="54" t="str">
        <f>IF(AND('Mapa final'!$AD$61="Alta",'Mapa final'!$AF$61="Menor"),CONCATENATE("R9C",'Mapa final'!$T$61),"")</f>
        <v/>
      </c>
      <c r="R24" s="54" t="str">
        <f>IF(AND('Mapa final'!$AD$62="Alta",'Mapa final'!$AF$62="Menor"),CONCATENATE("R9C",'Mapa final'!$T$62),"")</f>
        <v/>
      </c>
      <c r="S24" s="54" t="str">
        <f>IF(AND('Mapa final'!$AD$63="Alta",'Mapa final'!$AF$63="Menor"),CONCATENATE("R9C",'Mapa final'!$T$63),"")</f>
        <v/>
      </c>
      <c r="T24" s="54" t="str">
        <f>IF(AND('Mapa final'!$AD$64="Alta",'Mapa final'!$AF$64="Menor"),CONCATENATE("R9C",'Mapa final'!$T$64),"")</f>
        <v/>
      </c>
      <c r="U24" s="55" t="str">
        <f>IF(AND('Mapa final'!$AD$65="Alta",'Mapa final'!$AF$65="Menor"),CONCATENATE("R9C",'Mapa final'!$T$65),"")</f>
        <v/>
      </c>
      <c r="V24" s="38" t="str">
        <f>IF(AND('Mapa final'!$AD$60="Alta",'Mapa final'!$AF$60="Moderado"),CONCATENATE("R9C",'Mapa final'!$T$60),"")</f>
        <v/>
      </c>
      <c r="W24" s="39" t="str">
        <f>IF(AND('Mapa final'!$AD$61="Alta",'Mapa final'!$AF$61="Moderado"),CONCATENATE("R9C",'Mapa final'!$T$61),"")</f>
        <v/>
      </c>
      <c r="X24" s="39" t="str">
        <f>IF(AND('Mapa final'!$AD$62="Alta",'Mapa final'!$AF$62="Moderado"),CONCATENATE("R9C",'Mapa final'!$T$62),"")</f>
        <v/>
      </c>
      <c r="Y24" s="39" t="str">
        <f>IF(AND('Mapa final'!$AD$63="Alta",'Mapa final'!$AF$63="Moderado"),CONCATENATE("R9C",'Mapa final'!$T$63),"")</f>
        <v/>
      </c>
      <c r="Z24" s="39" t="str">
        <f>IF(AND('Mapa final'!$AD$64="Alta",'Mapa final'!$AF$64="Moderado"),CONCATENATE("R9C",'Mapa final'!$T$64),"")</f>
        <v/>
      </c>
      <c r="AA24" s="40" t="str">
        <f>IF(AND('Mapa final'!$AD$65="Alta",'Mapa final'!$AF$65="Moderado"),CONCATENATE("R9C",'Mapa final'!$T$65),"")</f>
        <v/>
      </c>
      <c r="AB24" s="38" t="str">
        <f>IF(AND('Mapa final'!$AD$60="Alta",'Mapa final'!$AF$60="Mayor"),CONCATENATE("R9C",'Mapa final'!$T$60),"")</f>
        <v/>
      </c>
      <c r="AC24" s="39" t="str">
        <f>IF(AND('Mapa final'!$AD$61="Alta",'Mapa final'!$AF$61="Mayor"),CONCATENATE("R9C",'Mapa final'!$T$61),"")</f>
        <v/>
      </c>
      <c r="AD24" s="39" t="str">
        <f>IF(AND('Mapa final'!$AD$62="Alta",'Mapa final'!$AF$62="Mayor"),CONCATENATE("R9C",'Mapa final'!$T$62),"")</f>
        <v/>
      </c>
      <c r="AE24" s="39" t="str">
        <f>IF(AND('Mapa final'!$AD$63="Alta",'Mapa final'!$AF$63="Mayor"),CONCATENATE("R9C",'Mapa final'!$T$63),"")</f>
        <v/>
      </c>
      <c r="AF24" s="39" t="str">
        <f>IF(AND('Mapa final'!$AD$64="Alta",'Mapa final'!$AF$64="Mayor"),CONCATENATE("R9C",'Mapa final'!$T$64),"")</f>
        <v/>
      </c>
      <c r="AG24" s="40" t="str">
        <f>IF(AND('Mapa final'!$AD$65="Alta",'Mapa final'!$AF$65="Mayor"),CONCATENATE("R9C",'Mapa final'!$T$65),"")</f>
        <v/>
      </c>
      <c r="AH24" s="41" t="str">
        <f>IF(AND('Mapa final'!$AD$60="Alta",'Mapa final'!$AF$60="Catastrófico"),CONCATENATE("R9C",'Mapa final'!$T$60),"")</f>
        <v/>
      </c>
      <c r="AI24" s="42" t="str">
        <f>IF(AND('Mapa final'!$AD$61="Alta",'Mapa final'!$AF$61="Catastrófico"),CONCATENATE("R9C",'Mapa final'!$T$61),"")</f>
        <v/>
      </c>
      <c r="AJ24" s="42" t="str">
        <f>IF(AND('Mapa final'!$AD$62="Alta",'Mapa final'!$AF$62="Catastrófico"),CONCATENATE("R9C",'Mapa final'!$T$62),"")</f>
        <v/>
      </c>
      <c r="AK24" s="42" t="str">
        <f>IF(AND('Mapa final'!$AD$63="Alta",'Mapa final'!$AF$63="Catastrófico"),CONCATENATE("R9C",'Mapa final'!$T$63),"")</f>
        <v/>
      </c>
      <c r="AL24" s="42" t="str">
        <f>IF(AND('Mapa final'!$AD$64="Alta",'Mapa final'!$AF$64="Catastrófico"),CONCATENATE("R9C",'Mapa final'!$T$64),"")</f>
        <v/>
      </c>
      <c r="AM24" s="43" t="str">
        <f>IF(AND('Mapa final'!$AD$65="Alta",'Mapa final'!$AF$65="Catastrófico"),CONCATENATE("R9C",'Mapa final'!$T$65),"")</f>
        <v/>
      </c>
      <c r="AN24" s="69"/>
      <c r="AO24" s="521"/>
      <c r="AP24" s="522"/>
      <c r="AQ24" s="522"/>
      <c r="AR24" s="522"/>
      <c r="AS24" s="522"/>
      <c r="AT24" s="523"/>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row>
    <row r="25" spans="1:76" ht="15.75" customHeight="1" thickBot="1" x14ac:dyDescent="0.3">
      <c r="A25" s="69"/>
      <c r="B25" s="432"/>
      <c r="C25" s="432"/>
      <c r="D25" s="433"/>
      <c r="E25" s="532"/>
      <c r="F25" s="533"/>
      <c r="G25" s="533"/>
      <c r="H25" s="533"/>
      <c r="I25" s="533"/>
      <c r="J25" s="56" t="str">
        <f>IF(AND('Mapa final'!$AD$66="Alta",'Mapa final'!$AF$66="Leve"),CONCATENATE("R10C",'Mapa final'!$T$66),"")</f>
        <v/>
      </c>
      <c r="K25" s="57" t="str">
        <f>IF(AND('Mapa final'!$AD$67="Alta",'Mapa final'!$AF$67="Leve"),CONCATENATE("R10C",'Mapa final'!$T$67),"")</f>
        <v/>
      </c>
      <c r="L25" s="57" t="str">
        <f>IF(AND('Mapa final'!$AD$68="Alta",'Mapa final'!$AF$68="Leve"),CONCATENATE("R10C",'Mapa final'!$T$68),"")</f>
        <v/>
      </c>
      <c r="M25" s="57" t="str">
        <f>IF(AND('Mapa final'!$AD$69="Alta",'Mapa final'!$AF$69="Leve"),CONCATENATE("R10C",'Mapa final'!$T$69),"")</f>
        <v/>
      </c>
      <c r="N25" s="57" t="str">
        <f>IF(AND('Mapa final'!$AD$70="Alta",'Mapa final'!$AF$70="Leve"),CONCATENATE("R10C",'Mapa final'!$T$70),"")</f>
        <v/>
      </c>
      <c r="O25" s="58" t="str">
        <f>IF(AND('Mapa final'!$AD$71="Alta",'Mapa final'!$AF$71="Leve"),CONCATENATE("R10C",'Mapa final'!$T$71),"")</f>
        <v/>
      </c>
      <c r="P25" s="56" t="str">
        <f>IF(AND('Mapa final'!$AD$66="Alta",'Mapa final'!$AF$66="Menor"),CONCATENATE("R10C",'Mapa final'!$T$66),"")</f>
        <v/>
      </c>
      <c r="Q25" s="57" t="str">
        <f>IF(AND('Mapa final'!$AD$67="Alta",'Mapa final'!$AF$67="Menor"),CONCATENATE("R10C",'Mapa final'!$T$67),"")</f>
        <v/>
      </c>
      <c r="R25" s="57" t="str">
        <f>IF(AND('Mapa final'!$AD$68="Alta",'Mapa final'!$AF$68="Menor"),CONCATENATE("R10C",'Mapa final'!$T$68),"")</f>
        <v/>
      </c>
      <c r="S25" s="57" t="str">
        <f>IF(AND('Mapa final'!$AD$69="Alta",'Mapa final'!$AF$69="Menor"),CONCATENATE("R10C",'Mapa final'!$T$69),"")</f>
        <v/>
      </c>
      <c r="T25" s="57" t="str">
        <f>IF(AND('Mapa final'!$AD$70="Alta",'Mapa final'!$AF$70="Menor"),CONCATENATE("R10C",'Mapa final'!$T$70),"")</f>
        <v/>
      </c>
      <c r="U25" s="58" t="str">
        <f>IF(AND('Mapa final'!$AD$71="Alta",'Mapa final'!$AF$71="Menor"),CONCATENATE("R10C",'Mapa final'!$T$71),"")</f>
        <v/>
      </c>
      <c r="V25" s="44" t="str">
        <f>IF(AND('Mapa final'!$AD$66="Alta",'Mapa final'!$AF$66="Moderado"),CONCATENATE("R10C",'Mapa final'!$T$66),"")</f>
        <v/>
      </c>
      <c r="W25" s="45" t="str">
        <f>IF(AND('Mapa final'!$AD$67="Alta",'Mapa final'!$AF$67="Moderado"),CONCATENATE("R10C",'Mapa final'!$T$67),"")</f>
        <v/>
      </c>
      <c r="X25" s="45" t="str">
        <f>IF(AND('Mapa final'!$AD$68="Alta",'Mapa final'!$AF$68="Moderado"),CONCATENATE("R10C",'Mapa final'!$T$68),"")</f>
        <v/>
      </c>
      <c r="Y25" s="45" t="str">
        <f>IF(AND('Mapa final'!$AD$69="Alta",'Mapa final'!$AF$69="Moderado"),CONCATENATE("R10C",'Mapa final'!$T$69),"")</f>
        <v/>
      </c>
      <c r="Z25" s="45" t="str">
        <f>IF(AND('Mapa final'!$AD$70="Alta",'Mapa final'!$AF$70="Moderado"),CONCATENATE("R10C",'Mapa final'!$T$70),"")</f>
        <v/>
      </c>
      <c r="AA25" s="46" t="str">
        <f>IF(AND('Mapa final'!$AD$71="Alta",'Mapa final'!$AF$71="Moderado"),CONCATENATE("R10C",'Mapa final'!$T$71),"")</f>
        <v/>
      </c>
      <c r="AB25" s="44" t="str">
        <f>IF(AND('Mapa final'!$AD$66="Alta",'Mapa final'!$AF$66="Mayor"),CONCATENATE("R10C",'Mapa final'!$T$66),"")</f>
        <v/>
      </c>
      <c r="AC25" s="45" t="str">
        <f>IF(AND('Mapa final'!$AD$67="Alta",'Mapa final'!$AF$67="Mayor"),CONCATENATE("R10C",'Mapa final'!$T$67),"")</f>
        <v/>
      </c>
      <c r="AD25" s="45" t="str">
        <f>IF(AND('Mapa final'!$AD$68="Alta",'Mapa final'!$AF$68="Mayor"),CONCATENATE("R10C",'Mapa final'!$T$68),"")</f>
        <v/>
      </c>
      <c r="AE25" s="45" t="str">
        <f>IF(AND('Mapa final'!$AD$69="Alta",'Mapa final'!$AF$69="Mayor"),CONCATENATE("R10C",'Mapa final'!$T$69),"")</f>
        <v/>
      </c>
      <c r="AF25" s="45" t="str">
        <f>IF(AND('Mapa final'!$AD$70="Alta",'Mapa final'!$AF$70="Mayor"),CONCATENATE("R10C",'Mapa final'!$T$70),"")</f>
        <v/>
      </c>
      <c r="AG25" s="46" t="str">
        <f>IF(AND('Mapa final'!$AD$71="Alta",'Mapa final'!$AF$71="Mayor"),CONCATENATE("R10C",'Mapa final'!$T$71),"")</f>
        <v/>
      </c>
      <c r="AH25" s="47" t="str">
        <f>IF(AND('Mapa final'!$AD$66="Alta",'Mapa final'!$AF$66="Catastrófico"),CONCATENATE("R10C",'Mapa final'!$T$66),"")</f>
        <v/>
      </c>
      <c r="AI25" s="48" t="str">
        <f>IF(AND('Mapa final'!$AD$67="Alta",'Mapa final'!$AF$67="Catastrófico"),CONCATENATE("R10C",'Mapa final'!$T$67),"")</f>
        <v/>
      </c>
      <c r="AJ25" s="48" t="str">
        <f>IF(AND('Mapa final'!$AD$68="Alta",'Mapa final'!$AF$68="Catastrófico"),CONCATENATE("R10C",'Mapa final'!$T$68),"")</f>
        <v/>
      </c>
      <c r="AK25" s="48" t="str">
        <f>IF(AND('Mapa final'!$AD$69="Alta",'Mapa final'!$AF$69="Catastrófico"),CONCATENATE("R10C",'Mapa final'!$T$69),"")</f>
        <v/>
      </c>
      <c r="AL25" s="48" t="str">
        <f>IF(AND('Mapa final'!$AD$70="Alta",'Mapa final'!$AF$70="Catastrófico"),CONCATENATE("R10C",'Mapa final'!$T$70),"")</f>
        <v/>
      </c>
      <c r="AM25" s="49" t="str">
        <f>IF(AND('Mapa final'!$AD$71="Alta",'Mapa final'!$AF$71="Catastrófico"),CONCATENATE("R10C",'Mapa final'!$T$71),"")</f>
        <v/>
      </c>
      <c r="AN25" s="69"/>
      <c r="AO25" s="524"/>
      <c r="AP25" s="525"/>
      <c r="AQ25" s="525"/>
      <c r="AR25" s="525"/>
      <c r="AS25" s="525"/>
      <c r="AT25" s="526"/>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row>
    <row r="26" spans="1:76" ht="15" customHeight="1" x14ac:dyDescent="0.25">
      <c r="A26" s="69"/>
      <c r="B26" s="432"/>
      <c r="C26" s="432"/>
      <c r="D26" s="433"/>
      <c r="E26" s="527" t="s">
        <v>117</v>
      </c>
      <c r="F26" s="528"/>
      <c r="G26" s="528"/>
      <c r="H26" s="528"/>
      <c r="I26" s="545"/>
      <c r="J26" s="50" t="str">
        <f>IF(AND('Mapa final'!$AD$12="Media",'Mapa final'!$AF$12="Leve"),CONCATENATE("R1C",'Mapa final'!$T$12),"")</f>
        <v/>
      </c>
      <c r="K26" s="51" t="str">
        <f>IF(AND('Mapa final'!$AD$13="Media",'Mapa final'!$AF$13="Leve"),CONCATENATE("R1C",'Mapa final'!$T$13),"")</f>
        <v/>
      </c>
      <c r="L26" s="51" t="str">
        <f>IF(AND('Mapa final'!$AD$14="Media",'Mapa final'!$AF$14="Leve"),CONCATENATE("R1C",'Mapa final'!$T$14),"")</f>
        <v/>
      </c>
      <c r="M26" s="51" t="str">
        <f>IF(AND('Mapa final'!$AD$15="Media",'Mapa final'!$AF$15="Leve"),CONCATENATE("R1C",'Mapa final'!$T$15),"")</f>
        <v/>
      </c>
      <c r="N26" s="51" t="str">
        <f>IF(AND('Mapa final'!$AD$16="Media",'Mapa final'!$AF$16="Leve"),CONCATENATE("R1C",'Mapa final'!$T$16),"")</f>
        <v/>
      </c>
      <c r="O26" s="52" t="str">
        <f>IF(AND('Mapa final'!$AD$17="Media",'Mapa final'!$AF$17="Leve"),CONCATENATE("R1C",'Mapa final'!$T$17),"")</f>
        <v/>
      </c>
      <c r="P26" s="50" t="str">
        <f>IF(AND('Mapa final'!$AD$12="Media",'Mapa final'!$AF$12="Menor"),CONCATENATE("R1C",'Mapa final'!$T$12),"")</f>
        <v/>
      </c>
      <c r="Q26" s="51" t="str">
        <f>IF(AND('Mapa final'!$AD$13="Media",'Mapa final'!$AF$13="Menor"),CONCATENATE("R1C",'Mapa final'!$T$13),"")</f>
        <v/>
      </c>
      <c r="R26" s="51" t="str">
        <f>IF(AND('Mapa final'!$AD$14="Media",'Mapa final'!$AF$14="Menor"),CONCATENATE("R1C",'Mapa final'!$T$14),"")</f>
        <v/>
      </c>
      <c r="S26" s="51" t="str">
        <f>IF(AND('Mapa final'!$AD$15="Media",'Mapa final'!$AF$15="Menor"),CONCATENATE("R1C",'Mapa final'!$T$15),"")</f>
        <v/>
      </c>
      <c r="T26" s="51" t="str">
        <f>IF(AND('Mapa final'!$AD$16="Media",'Mapa final'!$AF$16="Menor"),CONCATENATE("R1C",'Mapa final'!$T$16),"")</f>
        <v/>
      </c>
      <c r="U26" s="52" t="str">
        <f>IF(AND('Mapa final'!$AD$17="Media",'Mapa final'!$AF$17="Menor"),CONCATENATE("R1C",'Mapa final'!$T$17),"")</f>
        <v/>
      </c>
      <c r="V26" s="50" t="str">
        <f>IF(AND('Mapa final'!$AD$12="Media",'Mapa final'!$AF$12="Moderado"),CONCATENATE("R1C",'Mapa final'!$T$12),"")</f>
        <v>R1C1</v>
      </c>
      <c r="W26" s="51" t="str">
        <f>IF(AND('Mapa final'!$AD$13="Media",'Mapa final'!$AF$13="Moderado"),CONCATENATE("R1C",'Mapa final'!$T$13),"")</f>
        <v/>
      </c>
      <c r="X26" s="51" t="str">
        <f>IF(AND('Mapa final'!$AD$14="Media",'Mapa final'!$AF$14="Moderado"),CONCATENATE("R1C",'Mapa final'!$T$14),"")</f>
        <v/>
      </c>
      <c r="Y26" s="51" t="str">
        <f>IF(AND('Mapa final'!$AD$15="Media",'Mapa final'!$AF$15="Moderado"),CONCATENATE("R1C",'Mapa final'!$T$15),"")</f>
        <v/>
      </c>
      <c r="Z26" s="51" t="str">
        <f>IF(AND('Mapa final'!$AD$16="Media",'Mapa final'!$AF$16="Moderado"),CONCATENATE("R1C",'Mapa final'!$T$16),"")</f>
        <v/>
      </c>
      <c r="AA26" s="52" t="str">
        <f>IF(AND('Mapa final'!$AD$17="Media",'Mapa final'!$AF$17="Moderado"),CONCATENATE("R1C",'Mapa final'!$T$17),"")</f>
        <v/>
      </c>
      <c r="AB26" s="32" t="str">
        <f>IF(AND('Mapa final'!$AD$12="Media",'Mapa final'!$AF$12="Mayor"),CONCATENATE("R1C",'Mapa final'!$T$12),"")</f>
        <v/>
      </c>
      <c r="AC26" s="33" t="str">
        <f>IF(AND('Mapa final'!$AD$13="Media",'Mapa final'!$AF$13="Mayor"),CONCATENATE("R1C",'Mapa final'!$T$13),"")</f>
        <v/>
      </c>
      <c r="AD26" s="33" t="str">
        <f>IF(AND('Mapa final'!$AD$14="Media",'Mapa final'!$AF$14="Mayor"),CONCATENATE("R1C",'Mapa final'!$T$14),"")</f>
        <v/>
      </c>
      <c r="AE26" s="33" t="str">
        <f>IF(AND('Mapa final'!$AD$15="Media",'Mapa final'!$AF$15="Mayor"),CONCATENATE("R1C",'Mapa final'!$T$15),"")</f>
        <v/>
      </c>
      <c r="AF26" s="33" t="str">
        <f>IF(AND('Mapa final'!$AD$16="Media",'Mapa final'!$AF$16="Mayor"),CONCATENATE("R1C",'Mapa final'!$T$16),"")</f>
        <v/>
      </c>
      <c r="AG26" s="34" t="str">
        <f>IF(AND('Mapa final'!$AD$17="Media",'Mapa final'!$AF$17="Mayor"),CONCATENATE("R1C",'Mapa final'!$T$17),"")</f>
        <v/>
      </c>
      <c r="AH26" s="35" t="str">
        <f>IF(AND('Mapa final'!$AD$12="Media",'Mapa final'!$AF$12="Catastrófico"),CONCATENATE("R1C",'Mapa final'!$T$12),"")</f>
        <v/>
      </c>
      <c r="AI26" s="36" t="str">
        <f>IF(AND('Mapa final'!$AD$13="Media",'Mapa final'!$AF$13="Catastrófico"),CONCATENATE("R1C",'Mapa final'!$T$13),"")</f>
        <v/>
      </c>
      <c r="AJ26" s="36" t="str">
        <f>IF(AND('Mapa final'!$AD$14="Media",'Mapa final'!$AF$14="Catastrófico"),CONCATENATE("R1C",'Mapa final'!$T$14),"")</f>
        <v/>
      </c>
      <c r="AK26" s="36" t="str">
        <f>IF(AND('Mapa final'!$AD$15="Media",'Mapa final'!$AF$15="Catastrófico"),CONCATENATE("R1C",'Mapa final'!$T$15),"")</f>
        <v/>
      </c>
      <c r="AL26" s="36" t="str">
        <f>IF(AND('Mapa final'!$AD$16="Media",'Mapa final'!$AF$16="Catastrófico"),CONCATENATE("R1C",'Mapa final'!$T$16),"")</f>
        <v/>
      </c>
      <c r="AM26" s="37" t="str">
        <f>IF(AND('Mapa final'!$AD$17="Media",'Mapa final'!$AF$17="Catastrófico"),CONCATENATE("R1C",'Mapa final'!$T$17),"")</f>
        <v/>
      </c>
      <c r="AN26" s="69"/>
      <c r="AO26" s="557" t="s">
        <v>81</v>
      </c>
      <c r="AP26" s="558"/>
      <c r="AQ26" s="558"/>
      <c r="AR26" s="558"/>
      <c r="AS26" s="558"/>
      <c r="AT26" s="55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row>
    <row r="27" spans="1:76" ht="15" customHeight="1" x14ac:dyDescent="0.25">
      <c r="A27" s="69"/>
      <c r="B27" s="432"/>
      <c r="C27" s="432"/>
      <c r="D27" s="433"/>
      <c r="E27" s="529"/>
      <c r="F27" s="530"/>
      <c r="G27" s="530"/>
      <c r="H27" s="530"/>
      <c r="I27" s="546"/>
      <c r="J27" s="53" t="str">
        <f>IF(AND('Mapa final'!$AD$18="Media",'Mapa final'!$AF$18="Leve"),CONCATENATE("R2C",'Mapa final'!$T$18),"")</f>
        <v/>
      </c>
      <c r="K27" s="54" t="str">
        <f>IF(AND('Mapa final'!$AD$19="Media",'Mapa final'!$AF$19="Leve"),CONCATENATE("R2C",'Mapa final'!$T$19),"")</f>
        <v/>
      </c>
      <c r="L27" s="54" t="str">
        <f>IF(AND('Mapa final'!$AD$20="Media",'Mapa final'!$AF$20="Leve"),CONCATENATE("R2C",'Mapa final'!$T$20),"")</f>
        <v/>
      </c>
      <c r="M27" s="54" t="str">
        <f>IF(AND('Mapa final'!$AD$21="Media",'Mapa final'!$AF$21="Leve"),CONCATENATE("R2C",'Mapa final'!$T$21),"")</f>
        <v/>
      </c>
      <c r="N27" s="54" t="str">
        <f>IF(AND('Mapa final'!$AD$22="Media",'Mapa final'!$AF$22="Leve"),CONCATENATE("R2C",'Mapa final'!$T$22),"")</f>
        <v/>
      </c>
      <c r="O27" s="55" t="str">
        <f>IF(AND('Mapa final'!$AD$23="Media",'Mapa final'!$AF$23="Leve"),CONCATENATE("R2C",'Mapa final'!$T$23),"")</f>
        <v/>
      </c>
      <c r="P27" s="53" t="str">
        <f>IF(AND('Mapa final'!$AD$18="Media",'Mapa final'!$AF$18="Menor"),CONCATENATE("R2C",'Mapa final'!$T$18),"")</f>
        <v/>
      </c>
      <c r="Q27" s="54" t="str">
        <f>IF(AND('Mapa final'!$AD$19="Media",'Mapa final'!$AF$19="Menor"),CONCATENATE("R2C",'Mapa final'!$T$19),"")</f>
        <v/>
      </c>
      <c r="R27" s="54" t="str">
        <f>IF(AND('Mapa final'!$AD$20="Media",'Mapa final'!$AF$20="Menor"),CONCATENATE("R2C",'Mapa final'!$T$20),"")</f>
        <v/>
      </c>
      <c r="S27" s="54" t="str">
        <f>IF(AND('Mapa final'!$AD$21="Media",'Mapa final'!$AF$21="Menor"),CONCATENATE("R2C",'Mapa final'!$T$21),"")</f>
        <v/>
      </c>
      <c r="T27" s="54" t="str">
        <f>IF(AND('Mapa final'!$AD$22="Media",'Mapa final'!$AF$22="Menor"),CONCATENATE("R2C",'Mapa final'!$T$22),"")</f>
        <v/>
      </c>
      <c r="U27" s="55" t="str">
        <f>IF(AND('Mapa final'!$AD$23="Media",'Mapa final'!$AF$23="Menor"),CONCATENATE("R2C",'Mapa final'!$T$23),"")</f>
        <v/>
      </c>
      <c r="V27" s="53" t="str">
        <f>IF(AND('Mapa final'!$AD$18="Media",'Mapa final'!$AF$18="Moderado"),CONCATENATE("R2C",'Mapa final'!$T$18),"")</f>
        <v/>
      </c>
      <c r="W27" s="54" t="str">
        <f>IF(AND('Mapa final'!$AD$19="Media",'Mapa final'!$AF$19="Moderado"),CONCATENATE("R2C",'Mapa final'!$T$19),"")</f>
        <v/>
      </c>
      <c r="X27" s="54" t="str">
        <f>IF(AND('Mapa final'!$AD$20="Media",'Mapa final'!$AF$20="Moderado"),CONCATENATE("R2C",'Mapa final'!$T$20),"")</f>
        <v/>
      </c>
      <c r="Y27" s="54" t="str">
        <f>IF(AND('Mapa final'!$AD$21="Media",'Mapa final'!$AF$21="Moderado"),CONCATENATE("R2C",'Mapa final'!$T$21),"")</f>
        <v/>
      </c>
      <c r="Z27" s="54" t="str">
        <f>IF(AND('Mapa final'!$AD$22="Media",'Mapa final'!$AF$22="Moderado"),CONCATENATE("R2C",'Mapa final'!$T$22),"")</f>
        <v/>
      </c>
      <c r="AA27" s="55" t="str">
        <f>IF(AND('Mapa final'!$AD$23="Media",'Mapa final'!$AF$23="Moderado"),CONCATENATE("R2C",'Mapa final'!$T$23),"")</f>
        <v/>
      </c>
      <c r="AB27" s="38" t="str">
        <f>IF(AND('Mapa final'!$AD$18="Media",'Mapa final'!$AF$18="Mayor"),CONCATENATE("R2C",'Mapa final'!$T$18),"")</f>
        <v/>
      </c>
      <c r="AC27" s="39" t="str">
        <f>IF(AND('Mapa final'!$AD$19="Media",'Mapa final'!$AF$19="Mayor"),CONCATENATE("R2C",'Mapa final'!$T$19),"")</f>
        <v/>
      </c>
      <c r="AD27" s="39" t="str">
        <f>IF(AND('Mapa final'!$AD$20="Media",'Mapa final'!$AF$20="Mayor"),CONCATENATE("R2C",'Mapa final'!$T$20),"")</f>
        <v/>
      </c>
      <c r="AE27" s="39" t="str">
        <f>IF(AND('Mapa final'!$AD$21="Media",'Mapa final'!$AF$21="Mayor"),CONCATENATE("R2C",'Mapa final'!$T$21),"")</f>
        <v/>
      </c>
      <c r="AF27" s="39" t="str">
        <f>IF(AND('Mapa final'!$AD$22="Media",'Mapa final'!$AF$22="Mayor"),CONCATENATE("R2C",'Mapa final'!$T$22),"")</f>
        <v/>
      </c>
      <c r="AG27" s="40" t="str">
        <f>IF(AND('Mapa final'!$AD$23="Media",'Mapa final'!$AF$23="Mayor"),CONCATENATE("R2C",'Mapa final'!$T$23),"")</f>
        <v/>
      </c>
      <c r="AH27" s="41" t="str">
        <f>IF(AND('Mapa final'!$AD$18="Media",'Mapa final'!$AF$18="Catastrófico"),CONCATENATE("R2C",'Mapa final'!$T$18),"")</f>
        <v/>
      </c>
      <c r="AI27" s="42" t="str">
        <f>IF(AND('Mapa final'!$AD$19="Media",'Mapa final'!$AF$19="Catastrófico"),CONCATENATE("R2C",'Mapa final'!$T$19),"")</f>
        <v/>
      </c>
      <c r="AJ27" s="42" t="str">
        <f>IF(AND('Mapa final'!$AD$20="Media",'Mapa final'!$AF$20="Catastrófico"),CONCATENATE("R2C",'Mapa final'!$T$20),"")</f>
        <v/>
      </c>
      <c r="AK27" s="42" t="str">
        <f>IF(AND('Mapa final'!$AD$21="Media",'Mapa final'!$AF$21="Catastrófico"),CONCATENATE("R2C",'Mapa final'!$T$21),"")</f>
        <v/>
      </c>
      <c r="AL27" s="42" t="str">
        <f>IF(AND('Mapa final'!$AD$22="Media",'Mapa final'!$AF$22="Catastrófico"),CONCATENATE("R2C",'Mapa final'!$T$22),"")</f>
        <v/>
      </c>
      <c r="AM27" s="43" t="str">
        <f>IF(AND('Mapa final'!$AD$23="Media",'Mapa final'!$AF$23="Catastrófico"),CONCATENATE("R2C",'Mapa final'!$T$23),"")</f>
        <v/>
      </c>
      <c r="AN27" s="69"/>
      <c r="AO27" s="560"/>
      <c r="AP27" s="561"/>
      <c r="AQ27" s="561"/>
      <c r="AR27" s="561"/>
      <c r="AS27" s="561"/>
      <c r="AT27" s="562"/>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row>
    <row r="28" spans="1:76" ht="15" customHeight="1" x14ac:dyDescent="0.25">
      <c r="A28" s="69"/>
      <c r="B28" s="432"/>
      <c r="C28" s="432"/>
      <c r="D28" s="433"/>
      <c r="E28" s="531"/>
      <c r="F28" s="530"/>
      <c r="G28" s="530"/>
      <c r="H28" s="530"/>
      <c r="I28" s="546"/>
      <c r="J28" s="53" t="str">
        <f>IF(AND('Mapa final'!$AD$24="Media",'Mapa final'!$AF$24="Leve"),CONCATENATE("R3C",'Mapa final'!$T$24),"")</f>
        <v/>
      </c>
      <c r="K28" s="54" t="str">
        <f>IF(AND('Mapa final'!$AD$25="Media",'Mapa final'!$AF$25="Leve"),CONCATENATE("R3C",'Mapa final'!$T$25),"")</f>
        <v/>
      </c>
      <c r="L28" s="54" t="str">
        <f>IF(AND('Mapa final'!$AD$26="Media",'Mapa final'!$AF$26="Leve"),CONCATENATE("R3C",'Mapa final'!$T$26),"")</f>
        <v/>
      </c>
      <c r="M28" s="54" t="str">
        <f>IF(AND('Mapa final'!$AD$27="Media",'Mapa final'!$AF$27="Leve"),CONCATENATE("R3C",'Mapa final'!$T$27),"")</f>
        <v/>
      </c>
      <c r="N28" s="54" t="str">
        <f>IF(AND('Mapa final'!$AD$28="Media",'Mapa final'!$AF$28="Leve"),CONCATENATE("R3C",'Mapa final'!$T$28),"")</f>
        <v/>
      </c>
      <c r="O28" s="55" t="str">
        <f>IF(AND('Mapa final'!$AD$29="Media",'Mapa final'!$AF$29="Leve"),CONCATENATE("R3C",'Mapa final'!$T$29),"")</f>
        <v/>
      </c>
      <c r="P28" s="53" t="str">
        <f>IF(AND('Mapa final'!$AD$24="Media",'Mapa final'!$AF$24="Menor"),CONCATENATE("R3C",'Mapa final'!$T$24),"")</f>
        <v/>
      </c>
      <c r="Q28" s="54" t="str">
        <f>IF(AND('Mapa final'!$AD$25="Media",'Mapa final'!$AF$25="Menor"),CONCATENATE("R3C",'Mapa final'!$T$25),"")</f>
        <v/>
      </c>
      <c r="R28" s="54" t="str">
        <f>IF(AND('Mapa final'!$AD$26="Media",'Mapa final'!$AF$26="Menor"),CONCATENATE("R3C",'Mapa final'!$T$26),"")</f>
        <v/>
      </c>
      <c r="S28" s="54" t="str">
        <f>IF(AND('Mapa final'!$AD$27="Media",'Mapa final'!$AF$27="Menor"),CONCATENATE("R3C",'Mapa final'!$T$27),"")</f>
        <v/>
      </c>
      <c r="T28" s="54" t="str">
        <f>IF(AND('Mapa final'!$AD$28="Media",'Mapa final'!$AF$28="Menor"),CONCATENATE("R3C",'Mapa final'!$T$28),"")</f>
        <v/>
      </c>
      <c r="U28" s="55" t="str">
        <f>IF(AND('Mapa final'!$AD$29="Media",'Mapa final'!$AF$29="Menor"),CONCATENATE("R3C",'Mapa final'!$T$29),"")</f>
        <v/>
      </c>
      <c r="V28" s="53" t="str">
        <f>IF(AND('Mapa final'!$AD$24="Media",'Mapa final'!$AF$24="Moderado"),CONCATENATE("R3C",'Mapa final'!$T$24),"")</f>
        <v/>
      </c>
      <c r="W28" s="54" t="str">
        <f>IF(AND('Mapa final'!$AD$25="Media",'Mapa final'!$AF$25="Moderado"),CONCATENATE("R3C",'Mapa final'!$T$25),"")</f>
        <v/>
      </c>
      <c r="X28" s="54" t="str">
        <f>IF(AND('Mapa final'!$AD$26="Media",'Mapa final'!$AF$26="Moderado"),CONCATENATE("R3C",'Mapa final'!$T$26),"")</f>
        <v/>
      </c>
      <c r="Y28" s="54" t="str">
        <f>IF(AND('Mapa final'!$AD$27="Media",'Mapa final'!$AF$27="Moderado"),CONCATENATE("R3C",'Mapa final'!$T$27),"")</f>
        <v/>
      </c>
      <c r="Z28" s="54" t="str">
        <f>IF(AND('Mapa final'!$AD$28="Media",'Mapa final'!$AF$28="Moderado"),CONCATENATE("R3C",'Mapa final'!$T$28),"")</f>
        <v/>
      </c>
      <c r="AA28" s="55" t="str">
        <f>IF(AND('Mapa final'!$AD$29="Media",'Mapa final'!$AF$29="Moderado"),CONCATENATE("R3C",'Mapa final'!$T$29),"")</f>
        <v/>
      </c>
      <c r="AB28" s="38" t="str">
        <f>IF(AND('Mapa final'!$AD$24="Media",'Mapa final'!$AF$24="Mayor"),CONCATENATE("R3C",'Mapa final'!$T$24),"")</f>
        <v/>
      </c>
      <c r="AC28" s="39" t="str">
        <f>IF(AND('Mapa final'!$AD$25="Media",'Mapa final'!$AF$25="Mayor"),CONCATENATE("R3C",'Mapa final'!$T$25),"")</f>
        <v/>
      </c>
      <c r="AD28" s="39" t="str">
        <f>IF(AND('Mapa final'!$AD$26="Media",'Mapa final'!$AF$26="Mayor"),CONCATENATE("R3C",'Mapa final'!$T$26),"")</f>
        <v/>
      </c>
      <c r="AE28" s="39" t="str">
        <f>IF(AND('Mapa final'!$AD$27="Media",'Mapa final'!$AF$27="Mayor"),CONCATENATE("R3C",'Mapa final'!$T$27),"")</f>
        <v/>
      </c>
      <c r="AF28" s="39" t="str">
        <f>IF(AND('Mapa final'!$AD$28="Media",'Mapa final'!$AF$28="Mayor"),CONCATENATE("R3C",'Mapa final'!$T$28),"")</f>
        <v/>
      </c>
      <c r="AG28" s="40" t="str">
        <f>IF(AND('Mapa final'!$AD$29="Media",'Mapa final'!$AF$29="Mayor"),CONCATENATE("R3C",'Mapa final'!$T$29),"")</f>
        <v/>
      </c>
      <c r="AH28" s="41" t="str">
        <f>IF(AND('Mapa final'!$AD$24="Media",'Mapa final'!$AF$24="Catastrófico"),CONCATENATE("R3C",'Mapa final'!$T$24),"")</f>
        <v>R3C1</v>
      </c>
      <c r="AI28" s="42" t="str">
        <f>IF(AND('Mapa final'!$AD$25="Media",'Mapa final'!$AF$25="Catastrófico"),CONCATENATE("R3C",'Mapa final'!$T$25),"")</f>
        <v/>
      </c>
      <c r="AJ28" s="42" t="str">
        <f>IF(AND('Mapa final'!$AD$26="Media",'Mapa final'!$AF$26="Catastrófico"),CONCATENATE("R3C",'Mapa final'!$T$26),"")</f>
        <v/>
      </c>
      <c r="AK28" s="42" t="str">
        <f>IF(AND('Mapa final'!$AD$27="Media",'Mapa final'!$AF$27="Catastrófico"),CONCATENATE("R3C",'Mapa final'!$T$27),"")</f>
        <v/>
      </c>
      <c r="AL28" s="42" t="str">
        <f>IF(AND('Mapa final'!$AD$28="Media",'Mapa final'!$AF$28="Catastrófico"),CONCATENATE("R3C",'Mapa final'!$T$28),"")</f>
        <v/>
      </c>
      <c r="AM28" s="43" t="str">
        <f>IF(AND('Mapa final'!$AD$29="Media",'Mapa final'!$AF$29="Catastrófico"),CONCATENATE("R3C",'Mapa final'!$T$29),"")</f>
        <v/>
      </c>
      <c r="AN28" s="69"/>
      <c r="AO28" s="560"/>
      <c r="AP28" s="561"/>
      <c r="AQ28" s="561"/>
      <c r="AR28" s="561"/>
      <c r="AS28" s="561"/>
      <c r="AT28" s="562"/>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row>
    <row r="29" spans="1:76" ht="15" customHeight="1" x14ac:dyDescent="0.25">
      <c r="A29" s="69"/>
      <c r="B29" s="432"/>
      <c r="C29" s="432"/>
      <c r="D29" s="433"/>
      <c r="E29" s="531"/>
      <c r="F29" s="530"/>
      <c r="G29" s="530"/>
      <c r="H29" s="530"/>
      <c r="I29" s="546"/>
      <c r="J29" s="53" t="str">
        <f>IF(AND('Mapa final'!$AD$30="Media",'Mapa final'!$AF$30="Leve"),CONCATENATE("R4C",'Mapa final'!$T$30),"")</f>
        <v/>
      </c>
      <c r="K29" s="54" t="str">
        <f>IF(AND('Mapa final'!$AD$31="Media",'Mapa final'!$AF$31="Leve"),CONCATENATE("R4C",'Mapa final'!$T$31),"")</f>
        <v/>
      </c>
      <c r="L29" s="54" t="str">
        <f>IF(AND('Mapa final'!$AD$32="Media",'Mapa final'!$AF$32="Leve"),CONCATENATE("R4C",'Mapa final'!$T$32),"")</f>
        <v/>
      </c>
      <c r="M29" s="54" t="str">
        <f>IF(AND('Mapa final'!$AD$33="Media",'Mapa final'!$AF$33="Leve"),CONCATENATE("R4C",'Mapa final'!$T$33),"")</f>
        <v/>
      </c>
      <c r="N29" s="54" t="str">
        <f>IF(AND('Mapa final'!$AD$34="Media",'Mapa final'!$AF$34="Leve"),CONCATENATE("R4C",'Mapa final'!$T$34),"")</f>
        <v/>
      </c>
      <c r="O29" s="55" t="str">
        <f>IF(AND('Mapa final'!$AD$35="Media",'Mapa final'!$AF$35="Leve"),CONCATENATE("R4C",'Mapa final'!$T$35),"")</f>
        <v/>
      </c>
      <c r="P29" s="53" t="str">
        <f>IF(AND('Mapa final'!$AD$30="Media",'Mapa final'!$AF$30="Menor"),CONCATENATE("R4C",'Mapa final'!$T$30),"")</f>
        <v/>
      </c>
      <c r="Q29" s="54" t="str">
        <f>IF(AND('Mapa final'!$AD$31="Media",'Mapa final'!$AF$31="Menor"),CONCATENATE("R4C",'Mapa final'!$T$31),"")</f>
        <v/>
      </c>
      <c r="R29" s="54" t="str">
        <f>IF(AND('Mapa final'!$AD$32="Media",'Mapa final'!$AF$32="Menor"),CONCATENATE("R4C",'Mapa final'!$T$32),"")</f>
        <v/>
      </c>
      <c r="S29" s="54" t="str">
        <f>IF(AND('Mapa final'!$AD$33="Media",'Mapa final'!$AF$33="Menor"),CONCATENATE("R4C",'Mapa final'!$T$33),"")</f>
        <v/>
      </c>
      <c r="T29" s="54" t="str">
        <f>IF(AND('Mapa final'!$AD$34="Media",'Mapa final'!$AF$34="Menor"),CONCATENATE("R4C",'Mapa final'!$T$34),"")</f>
        <v/>
      </c>
      <c r="U29" s="55" t="str">
        <f>IF(AND('Mapa final'!$AD$35="Media",'Mapa final'!$AF$35="Menor"),CONCATENATE("R4C",'Mapa final'!$T$35),"")</f>
        <v/>
      </c>
      <c r="V29" s="53" t="str">
        <f>IF(AND('Mapa final'!$AD$30="Media",'Mapa final'!$AF$30="Moderado"),CONCATENATE("R4C",'Mapa final'!$T$30),"")</f>
        <v/>
      </c>
      <c r="W29" s="54" t="str">
        <f>IF(AND('Mapa final'!$AD$31="Media",'Mapa final'!$AF$31="Moderado"),CONCATENATE("R4C",'Mapa final'!$T$31),"")</f>
        <v/>
      </c>
      <c r="X29" s="54" t="str">
        <f>IF(AND('Mapa final'!$AD$32="Media",'Mapa final'!$AF$32="Moderado"),CONCATENATE("R4C",'Mapa final'!$T$32),"")</f>
        <v/>
      </c>
      <c r="Y29" s="54" t="str">
        <f>IF(AND('Mapa final'!$AD$33="Media",'Mapa final'!$AF$33="Moderado"),CONCATENATE("R4C",'Mapa final'!$T$33),"")</f>
        <v/>
      </c>
      <c r="Z29" s="54" t="str">
        <f>IF(AND('Mapa final'!$AD$34="Media",'Mapa final'!$AF$34="Moderado"),CONCATENATE("R4C",'Mapa final'!$T$34),"")</f>
        <v/>
      </c>
      <c r="AA29" s="55" t="str">
        <f>IF(AND('Mapa final'!$AD$35="Media",'Mapa final'!$AF$35="Moderado"),CONCATENATE("R4C",'Mapa final'!$T$35),"")</f>
        <v/>
      </c>
      <c r="AB29" s="38" t="str">
        <f>IF(AND('Mapa final'!$AD$30="Media",'Mapa final'!$AF$30="Mayor"),CONCATENATE("R4C",'Mapa final'!$T$30),"")</f>
        <v>R4C1</v>
      </c>
      <c r="AC29" s="39" t="str">
        <f>IF(AND('Mapa final'!$AD$31="Media",'Mapa final'!$AF$31="Mayor"),CONCATENATE("R4C",'Mapa final'!$T$31),"")</f>
        <v/>
      </c>
      <c r="AD29" s="39" t="str">
        <f>IF(AND('Mapa final'!$AD$32="Media",'Mapa final'!$AF$32="Mayor"),CONCATENATE("R4C",'Mapa final'!$T$32),"")</f>
        <v/>
      </c>
      <c r="AE29" s="39" t="str">
        <f>IF(AND('Mapa final'!$AD$33="Media",'Mapa final'!$AF$33="Mayor"),CONCATENATE("R4C",'Mapa final'!$T$33),"")</f>
        <v/>
      </c>
      <c r="AF29" s="39" t="str">
        <f>IF(AND('Mapa final'!$AD$34="Media",'Mapa final'!$AF$34="Mayor"),CONCATENATE("R4C",'Mapa final'!$T$34),"")</f>
        <v/>
      </c>
      <c r="AG29" s="40" t="str">
        <f>IF(AND('Mapa final'!$AD$35="Media",'Mapa final'!$AF$35="Mayor"),CONCATENATE("R4C",'Mapa final'!$T$35),"")</f>
        <v/>
      </c>
      <c r="AH29" s="41" t="str">
        <f>IF(AND('Mapa final'!$AD$30="Media",'Mapa final'!$AF$30="Catastrófico"),CONCATENATE("R4C",'Mapa final'!$T$30),"")</f>
        <v/>
      </c>
      <c r="AI29" s="42" t="str">
        <f>IF(AND('Mapa final'!$AD$31="Media",'Mapa final'!$AF$31="Catastrófico"),CONCATENATE("R4C",'Mapa final'!$T$31),"")</f>
        <v/>
      </c>
      <c r="AJ29" s="42" t="str">
        <f>IF(AND('Mapa final'!$AD$32="Media",'Mapa final'!$AF$32="Catastrófico"),CONCATENATE("R4C",'Mapa final'!$T$32),"")</f>
        <v/>
      </c>
      <c r="AK29" s="42" t="str">
        <f>IF(AND('Mapa final'!$AD$33="Media",'Mapa final'!$AF$33="Catastrófico"),CONCATENATE("R4C",'Mapa final'!$T$33),"")</f>
        <v/>
      </c>
      <c r="AL29" s="42" t="str">
        <f>IF(AND('Mapa final'!$AD$34="Media",'Mapa final'!$AF$34="Catastrófico"),CONCATENATE("R4C",'Mapa final'!$T$34),"")</f>
        <v/>
      </c>
      <c r="AM29" s="43" t="str">
        <f>IF(AND('Mapa final'!$AD$35="Media",'Mapa final'!$AF$35="Catastrófico"),CONCATENATE("R4C",'Mapa final'!$T$35),"")</f>
        <v/>
      </c>
      <c r="AN29" s="69"/>
      <c r="AO29" s="560"/>
      <c r="AP29" s="561"/>
      <c r="AQ29" s="561"/>
      <c r="AR29" s="561"/>
      <c r="AS29" s="561"/>
      <c r="AT29" s="562"/>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row>
    <row r="30" spans="1:76" ht="15" customHeight="1" x14ac:dyDescent="0.25">
      <c r="A30" s="69"/>
      <c r="B30" s="432"/>
      <c r="C30" s="432"/>
      <c r="D30" s="433"/>
      <c r="E30" s="531"/>
      <c r="F30" s="530"/>
      <c r="G30" s="530"/>
      <c r="H30" s="530"/>
      <c r="I30" s="546"/>
      <c r="J30" s="53" t="str">
        <f>IF(AND('Mapa final'!$AD$36="Media",'Mapa final'!$AF$36="Leve"),CONCATENATE("R5C",'Mapa final'!$T$36),"")</f>
        <v/>
      </c>
      <c r="K30" s="54" t="str">
        <f>IF(AND('Mapa final'!$AD$37="Media",'Mapa final'!$AF$37="Leve"),CONCATENATE("R5C",'Mapa final'!$T$37),"")</f>
        <v/>
      </c>
      <c r="L30" s="54" t="str">
        <f>IF(AND('Mapa final'!$AD$38="Media",'Mapa final'!$AF$38="Leve"),CONCATENATE("R5C",'Mapa final'!$T$38),"")</f>
        <v/>
      </c>
      <c r="M30" s="54" t="str">
        <f>IF(AND('Mapa final'!$AD$39="Media",'Mapa final'!$AF$39="Leve"),CONCATENATE("R5C",'Mapa final'!$T$39),"")</f>
        <v/>
      </c>
      <c r="N30" s="54" t="str">
        <f>IF(AND('Mapa final'!$AD$40="Media",'Mapa final'!$AF$40="Leve"),CONCATENATE("R5C",'Mapa final'!$T$40),"")</f>
        <v/>
      </c>
      <c r="O30" s="55" t="str">
        <f>IF(AND('Mapa final'!$AD$41="Media",'Mapa final'!$AF$41="Leve"),CONCATENATE("R5C",'Mapa final'!$T$41),"")</f>
        <v/>
      </c>
      <c r="P30" s="53" t="str">
        <f>IF(AND('Mapa final'!$AD$36="Media",'Mapa final'!$AF$36="Menor"),CONCATENATE("R5C",'Mapa final'!$T$36),"")</f>
        <v/>
      </c>
      <c r="Q30" s="54" t="str">
        <f>IF(AND('Mapa final'!$AD$37="Media",'Mapa final'!$AF$37="Menor"),CONCATENATE("R5C",'Mapa final'!$T$37),"")</f>
        <v/>
      </c>
      <c r="R30" s="54" t="str">
        <f>IF(AND('Mapa final'!$AD$38="Media",'Mapa final'!$AF$38="Menor"),CONCATENATE("R5C",'Mapa final'!$T$38),"")</f>
        <v/>
      </c>
      <c r="S30" s="54" t="str">
        <f>IF(AND('Mapa final'!$AD$39="Media",'Mapa final'!$AF$39="Menor"),CONCATENATE("R5C",'Mapa final'!$T$39),"")</f>
        <v/>
      </c>
      <c r="T30" s="54" t="str">
        <f>IF(AND('Mapa final'!$AD$40="Media",'Mapa final'!$AF$40="Menor"),CONCATENATE("R5C",'Mapa final'!$T$40),"")</f>
        <v/>
      </c>
      <c r="U30" s="55" t="str">
        <f>IF(AND('Mapa final'!$AD$41="Media",'Mapa final'!$AF$41="Menor"),CONCATENATE("R5C",'Mapa final'!$T$41),"")</f>
        <v/>
      </c>
      <c r="V30" s="53" t="str">
        <f>IF(AND('Mapa final'!$AD$36="Media",'Mapa final'!$AF$36="Moderado"),CONCATENATE("R5C",'Mapa final'!$T$36),"")</f>
        <v/>
      </c>
      <c r="W30" s="54" t="str">
        <f>IF(AND('Mapa final'!$AD$37="Media",'Mapa final'!$AF$37="Moderado"),CONCATENATE("R5C",'Mapa final'!$T$37),"")</f>
        <v/>
      </c>
      <c r="X30" s="54" t="str">
        <f>IF(AND('Mapa final'!$AD$38="Media",'Mapa final'!$AF$38="Moderado"),CONCATENATE("R5C",'Mapa final'!$T$38),"")</f>
        <v/>
      </c>
      <c r="Y30" s="54" t="str">
        <f>IF(AND('Mapa final'!$AD$39="Media",'Mapa final'!$AF$39="Moderado"),CONCATENATE("R5C",'Mapa final'!$T$39),"")</f>
        <v/>
      </c>
      <c r="Z30" s="54" t="str">
        <f>IF(AND('Mapa final'!$AD$40="Media",'Mapa final'!$AF$40="Moderado"),CONCATENATE("R5C",'Mapa final'!$T$40),"")</f>
        <v/>
      </c>
      <c r="AA30" s="55" t="str">
        <f>IF(AND('Mapa final'!$AD$41="Media",'Mapa final'!$AF$41="Moderado"),CONCATENATE("R5C",'Mapa final'!$T$41),"")</f>
        <v/>
      </c>
      <c r="AB30" s="38" t="str">
        <f>IF(AND('Mapa final'!$AD$36="Media",'Mapa final'!$AF$36="Mayor"),CONCATENATE("R5C",'Mapa final'!$T$36),"")</f>
        <v>R5C1</v>
      </c>
      <c r="AC30" s="39" t="str">
        <f>IF(AND('Mapa final'!$AD$37="Media",'Mapa final'!$AF$37="Mayor"),CONCATENATE("R5C",'Mapa final'!$T$37),"")</f>
        <v/>
      </c>
      <c r="AD30" s="39" t="str">
        <f>IF(AND('Mapa final'!$AD$38="Media",'Mapa final'!$AF$38="Mayor"),CONCATENATE("R5C",'Mapa final'!$T$38),"")</f>
        <v/>
      </c>
      <c r="AE30" s="39" t="str">
        <f>IF(AND('Mapa final'!$AD$39="Media",'Mapa final'!$AF$39="Mayor"),CONCATENATE("R5C",'Mapa final'!$T$39),"")</f>
        <v/>
      </c>
      <c r="AF30" s="39" t="str">
        <f>IF(AND('Mapa final'!$AD$40="Media",'Mapa final'!$AF$40="Mayor"),CONCATENATE("R5C",'Mapa final'!$T$40),"")</f>
        <v/>
      </c>
      <c r="AG30" s="40" t="str">
        <f>IF(AND('Mapa final'!$AD$41="Media",'Mapa final'!$AF$41="Mayor"),CONCATENATE("R5C",'Mapa final'!$T$41),"")</f>
        <v/>
      </c>
      <c r="AH30" s="41" t="str">
        <f>IF(AND('Mapa final'!$AD$36="Media",'Mapa final'!$AF$36="Catastrófico"),CONCATENATE("R5C",'Mapa final'!$T$36),"")</f>
        <v/>
      </c>
      <c r="AI30" s="42" t="str">
        <f>IF(AND('Mapa final'!$AD$37="Media",'Mapa final'!$AF$37="Catastrófico"),CONCATENATE("R5C",'Mapa final'!$T$37),"")</f>
        <v/>
      </c>
      <c r="AJ30" s="42" t="str">
        <f>IF(AND('Mapa final'!$AD$38="Media",'Mapa final'!$AF$38="Catastrófico"),CONCATENATE("R5C",'Mapa final'!$T$38),"")</f>
        <v/>
      </c>
      <c r="AK30" s="42" t="str">
        <f>IF(AND('Mapa final'!$AD$39="Media",'Mapa final'!$AF$39="Catastrófico"),CONCATENATE("R5C",'Mapa final'!$T$39),"")</f>
        <v/>
      </c>
      <c r="AL30" s="42" t="str">
        <f>IF(AND('Mapa final'!$AD$40="Media",'Mapa final'!$AF$40="Catastrófico"),CONCATENATE("R5C",'Mapa final'!$T$40),"")</f>
        <v/>
      </c>
      <c r="AM30" s="43" t="str">
        <f>IF(AND('Mapa final'!$AD$41="Media",'Mapa final'!$AF$41="Catastrófico"),CONCATENATE("R5C",'Mapa final'!$T$41),"")</f>
        <v/>
      </c>
      <c r="AN30" s="69"/>
      <c r="AO30" s="560"/>
      <c r="AP30" s="561"/>
      <c r="AQ30" s="561"/>
      <c r="AR30" s="561"/>
      <c r="AS30" s="561"/>
      <c r="AT30" s="562"/>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row>
    <row r="31" spans="1:76" ht="15" customHeight="1" x14ac:dyDescent="0.25">
      <c r="A31" s="69"/>
      <c r="B31" s="432"/>
      <c r="C31" s="432"/>
      <c r="D31" s="433"/>
      <c r="E31" s="531"/>
      <c r="F31" s="530"/>
      <c r="G31" s="530"/>
      <c r="H31" s="530"/>
      <c r="I31" s="546"/>
      <c r="J31" s="53" t="str">
        <f>IF(AND('Mapa final'!$AD$42="Media",'Mapa final'!$AF$42="Leve"),CONCATENATE("R6C",'Mapa final'!$T$42),"")</f>
        <v/>
      </c>
      <c r="K31" s="54" t="str">
        <f>IF(AND('Mapa final'!$AD$43="Media",'Mapa final'!$AF$43="Leve"),CONCATENATE("R6C",'Mapa final'!$T$43),"")</f>
        <v/>
      </c>
      <c r="L31" s="54" t="str">
        <f>IF(AND('Mapa final'!$AD$44="Media",'Mapa final'!$AF$44="Leve"),CONCATENATE("R6C",'Mapa final'!$T$44),"")</f>
        <v/>
      </c>
      <c r="M31" s="54" t="str">
        <f>IF(AND('Mapa final'!$AD$45="Media",'Mapa final'!$AF$45="Leve"),CONCATENATE("R6C",'Mapa final'!$T$45),"")</f>
        <v/>
      </c>
      <c r="N31" s="54" t="str">
        <f>IF(AND('Mapa final'!$AD$46="Media",'Mapa final'!$AF$46="Leve"),CONCATENATE("R6C",'Mapa final'!$T$46),"")</f>
        <v/>
      </c>
      <c r="O31" s="55" t="str">
        <f>IF(AND('Mapa final'!$AD$47="Media",'Mapa final'!$AF$47="Leve"),CONCATENATE("R6C",'Mapa final'!$T$47),"")</f>
        <v/>
      </c>
      <c r="P31" s="53" t="str">
        <f>IF(AND('Mapa final'!$AD$42="Media",'Mapa final'!$AF$42="Menor"),CONCATENATE("R6C",'Mapa final'!$T$42),"")</f>
        <v/>
      </c>
      <c r="Q31" s="54" t="str">
        <f>IF(AND('Mapa final'!$AD$43="Media",'Mapa final'!$AF$43="Menor"),CONCATENATE("R6C",'Mapa final'!$T$43),"")</f>
        <v/>
      </c>
      <c r="R31" s="54" t="str">
        <f>IF(AND('Mapa final'!$AD$44="Media",'Mapa final'!$AF$44="Menor"),CONCATENATE("R6C",'Mapa final'!$T$44),"")</f>
        <v/>
      </c>
      <c r="S31" s="54" t="str">
        <f>IF(AND('Mapa final'!$AD$45="Media",'Mapa final'!$AF$45="Menor"),CONCATENATE("R6C",'Mapa final'!$T$45),"")</f>
        <v/>
      </c>
      <c r="T31" s="54" t="str">
        <f>IF(AND('Mapa final'!$AD$46="Media",'Mapa final'!$AF$46="Menor"),CONCATENATE("R6C",'Mapa final'!$T$46),"")</f>
        <v/>
      </c>
      <c r="U31" s="55" t="str">
        <f>IF(AND('Mapa final'!$AD$47="Media",'Mapa final'!$AF$47="Menor"),CONCATENATE("R6C",'Mapa final'!$T$47),"")</f>
        <v/>
      </c>
      <c r="V31" s="53" t="str">
        <f>IF(AND('Mapa final'!$AD$42="Media",'Mapa final'!$AF$42="Moderado"),CONCATENATE("R6C",'Mapa final'!$T$42),"")</f>
        <v/>
      </c>
      <c r="W31" s="54" t="str">
        <f>IF(AND('Mapa final'!$AD$43="Media",'Mapa final'!$AF$43="Moderado"),CONCATENATE("R6C",'Mapa final'!$T$43),"")</f>
        <v/>
      </c>
      <c r="X31" s="54" t="str">
        <f>IF(AND('Mapa final'!$AD$44="Media",'Mapa final'!$AF$44="Moderado"),CONCATENATE("R6C",'Mapa final'!$T$44),"")</f>
        <v/>
      </c>
      <c r="Y31" s="54" t="str">
        <f>IF(AND('Mapa final'!$AD$45="Media",'Mapa final'!$AF$45="Moderado"),CONCATENATE("R6C",'Mapa final'!$T$45),"")</f>
        <v/>
      </c>
      <c r="Z31" s="54" t="str">
        <f>IF(AND('Mapa final'!$AD$46="Media",'Mapa final'!$AF$46="Moderado"),CONCATENATE("R6C",'Mapa final'!$T$46),"")</f>
        <v/>
      </c>
      <c r="AA31" s="55" t="str">
        <f>IF(AND('Mapa final'!$AD$47="Media",'Mapa final'!$AF$47="Moderado"),CONCATENATE("R6C",'Mapa final'!$T$47),"")</f>
        <v/>
      </c>
      <c r="AB31" s="38" t="str">
        <f>IF(AND('Mapa final'!$AD$42="Media",'Mapa final'!$AF$42="Mayor"),CONCATENATE("R6C",'Mapa final'!$T$42),"")</f>
        <v/>
      </c>
      <c r="AC31" s="39" t="str">
        <f>IF(AND('Mapa final'!$AD$43="Media",'Mapa final'!$AF$43="Mayor"),CONCATENATE("R6C",'Mapa final'!$T$43),"")</f>
        <v/>
      </c>
      <c r="AD31" s="39" t="str">
        <f>IF(AND('Mapa final'!$AD$44="Media",'Mapa final'!$AF$44="Mayor"),CONCATENATE("R6C",'Mapa final'!$T$44),"")</f>
        <v/>
      </c>
      <c r="AE31" s="39" t="str">
        <f>IF(AND('Mapa final'!$AD$45="Media",'Mapa final'!$AF$45="Mayor"),CONCATENATE("R6C",'Mapa final'!$T$45),"")</f>
        <v/>
      </c>
      <c r="AF31" s="39" t="str">
        <f>IF(AND('Mapa final'!$AD$46="Media",'Mapa final'!$AF$46="Mayor"),CONCATENATE("R6C",'Mapa final'!$T$46),"")</f>
        <v/>
      </c>
      <c r="AG31" s="40" t="str">
        <f>IF(AND('Mapa final'!$AD$47="Media",'Mapa final'!$AF$47="Mayor"),CONCATENATE("R6C",'Mapa final'!$T$47),"")</f>
        <v/>
      </c>
      <c r="AH31" s="41" t="str">
        <f>IF(AND('Mapa final'!$AD$42="Media",'Mapa final'!$AF$42="Catastrófico"),CONCATENATE("R6C",'Mapa final'!$T$42),"")</f>
        <v/>
      </c>
      <c r="AI31" s="42" t="str">
        <f>IF(AND('Mapa final'!$AD$43="Media",'Mapa final'!$AF$43="Catastrófico"),CONCATENATE("R6C",'Mapa final'!$T$43),"")</f>
        <v/>
      </c>
      <c r="AJ31" s="42" t="str">
        <f>IF(AND('Mapa final'!$AD$44="Media",'Mapa final'!$AF$44="Catastrófico"),CONCATENATE("R6C",'Mapa final'!$T$44),"")</f>
        <v/>
      </c>
      <c r="AK31" s="42" t="str">
        <f>IF(AND('Mapa final'!$AD$45="Media",'Mapa final'!$AF$45="Catastrófico"),CONCATENATE("R6C",'Mapa final'!$T$45),"")</f>
        <v/>
      </c>
      <c r="AL31" s="42" t="str">
        <f>IF(AND('Mapa final'!$AD$46="Media",'Mapa final'!$AF$46="Catastrófico"),CONCATENATE("R6C",'Mapa final'!$T$46),"")</f>
        <v/>
      </c>
      <c r="AM31" s="43" t="str">
        <f>IF(AND('Mapa final'!$AD$47="Media",'Mapa final'!$AF$47="Catastrófico"),CONCATENATE("R6C",'Mapa final'!$T$47),"")</f>
        <v/>
      </c>
      <c r="AN31" s="69"/>
      <c r="AO31" s="560"/>
      <c r="AP31" s="561"/>
      <c r="AQ31" s="561"/>
      <c r="AR31" s="561"/>
      <c r="AS31" s="561"/>
      <c r="AT31" s="562"/>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row>
    <row r="32" spans="1:76" ht="15" customHeight="1" x14ac:dyDescent="0.25">
      <c r="A32" s="69"/>
      <c r="B32" s="432"/>
      <c r="C32" s="432"/>
      <c r="D32" s="433"/>
      <c r="E32" s="531"/>
      <c r="F32" s="530"/>
      <c r="G32" s="530"/>
      <c r="H32" s="530"/>
      <c r="I32" s="546"/>
      <c r="J32" s="53" t="str">
        <f>IF(AND('Mapa final'!$AD$48="Media",'Mapa final'!$AF$48="Leve"),CONCATENATE("R7C",'Mapa final'!$T$48),"")</f>
        <v/>
      </c>
      <c r="K32" s="54" t="str">
        <f>IF(AND('Mapa final'!$AD$49="Media",'Mapa final'!$AF$49="Leve"),CONCATENATE("R7C",'Mapa final'!$T$49),"")</f>
        <v/>
      </c>
      <c r="L32" s="54" t="str">
        <f>IF(AND('Mapa final'!$AD$50="Media",'Mapa final'!$AF$50="Leve"),CONCATENATE("R7C",'Mapa final'!$T$50),"")</f>
        <v/>
      </c>
      <c r="M32" s="54" t="str">
        <f>IF(AND('Mapa final'!$AD$51="Media",'Mapa final'!$AF$51="Leve"),CONCATENATE("R7C",'Mapa final'!$T$51),"")</f>
        <v/>
      </c>
      <c r="N32" s="54" t="str">
        <f>IF(AND('Mapa final'!$AD$52="Media",'Mapa final'!$AF$52="Leve"),CONCATENATE("R7C",'Mapa final'!$T$52),"")</f>
        <v/>
      </c>
      <c r="O32" s="55" t="str">
        <f>IF(AND('Mapa final'!$AD$53="Media",'Mapa final'!$AF$53="Leve"),CONCATENATE("R7C",'Mapa final'!$T$53),"")</f>
        <v/>
      </c>
      <c r="P32" s="53" t="str">
        <f>IF(AND('Mapa final'!$AD$48="Media",'Mapa final'!$AF$48="Menor"),CONCATENATE("R7C",'Mapa final'!$T$48),"")</f>
        <v/>
      </c>
      <c r="Q32" s="54" t="str">
        <f>IF(AND('Mapa final'!$AD$49="Media",'Mapa final'!$AF$49="Menor"),CONCATENATE("R7C",'Mapa final'!$T$49),"")</f>
        <v/>
      </c>
      <c r="R32" s="54" t="str">
        <f>IF(AND('Mapa final'!$AD$50="Media",'Mapa final'!$AF$50="Menor"),CONCATENATE("R7C",'Mapa final'!$T$50),"")</f>
        <v/>
      </c>
      <c r="S32" s="54" t="str">
        <f>IF(AND('Mapa final'!$AD$51="Media",'Mapa final'!$AF$51="Menor"),CONCATENATE("R7C",'Mapa final'!$T$51),"")</f>
        <v/>
      </c>
      <c r="T32" s="54" t="str">
        <f>IF(AND('Mapa final'!$AD$52="Media",'Mapa final'!$AF$52="Menor"),CONCATENATE("R7C",'Mapa final'!$T$52),"")</f>
        <v/>
      </c>
      <c r="U32" s="55" t="str">
        <f>IF(AND('Mapa final'!$AD$53="Media",'Mapa final'!$AF$53="Menor"),CONCATENATE("R7C",'Mapa final'!$T$53),"")</f>
        <v/>
      </c>
      <c r="V32" s="53" t="str">
        <f>IF(AND('Mapa final'!$AD$48="Media",'Mapa final'!$AF$48="Moderado"),CONCATENATE("R7C",'Mapa final'!$T$48),"")</f>
        <v/>
      </c>
      <c r="W32" s="54" t="str">
        <f>IF(AND('Mapa final'!$AD$49="Media",'Mapa final'!$AF$49="Moderado"),CONCATENATE("R7C",'Mapa final'!$T$49),"")</f>
        <v/>
      </c>
      <c r="X32" s="54" t="str">
        <f>IF(AND('Mapa final'!$AD$50="Media",'Mapa final'!$AF$50="Moderado"),CONCATENATE("R7C",'Mapa final'!$T$50),"")</f>
        <v/>
      </c>
      <c r="Y32" s="54" t="str">
        <f>IF(AND('Mapa final'!$AD$51="Media",'Mapa final'!$AF$51="Moderado"),CONCATENATE("R7C",'Mapa final'!$T$51),"")</f>
        <v/>
      </c>
      <c r="Z32" s="54" t="str">
        <f>IF(AND('Mapa final'!$AD$52="Media",'Mapa final'!$AF$52="Moderado"),CONCATENATE("R7C",'Mapa final'!$T$52),"")</f>
        <v/>
      </c>
      <c r="AA32" s="55" t="str">
        <f>IF(AND('Mapa final'!$AD$53="Media",'Mapa final'!$AF$53="Moderado"),CONCATENATE("R7C",'Mapa final'!$T$53),"")</f>
        <v/>
      </c>
      <c r="AB32" s="38" t="str">
        <f>IF(AND('Mapa final'!$AD$48="Media",'Mapa final'!$AF$48="Mayor"),CONCATENATE("R7C",'Mapa final'!$T$48),"")</f>
        <v/>
      </c>
      <c r="AC32" s="39" t="str">
        <f>IF(AND('Mapa final'!$AD$49="Media",'Mapa final'!$AF$49="Mayor"),CONCATENATE("R7C",'Mapa final'!$T$49),"")</f>
        <v/>
      </c>
      <c r="AD32" s="39" t="str">
        <f>IF(AND('Mapa final'!$AD$50="Media",'Mapa final'!$AF$50="Mayor"),CONCATENATE("R7C",'Mapa final'!$T$50),"")</f>
        <v/>
      </c>
      <c r="AE32" s="39" t="str">
        <f>IF(AND('Mapa final'!$AD$51="Media",'Mapa final'!$AF$51="Mayor"),CONCATENATE("R7C",'Mapa final'!$T$51),"")</f>
        <v/>
      </c>
      <c r="AF32" s="39" t="str">
        <f>IF(AND('Mapa final'!$AD$52="Media",'Mapa final'!$AF$52="Mayor"),CONCATENATE("R7C",'Mapa final'!$T$52),"")</f>
        <v/>
      </c>
      <c r="AG32" s="40" t="str">
        <f>IF(AND('Mapa final'!$AD$53="Media",'Mapa final'!$AF$53="Mayor"),CONCATENATE("R7C",'Mapa final'!$T$53),"")</f>
        <v/>
      </c>
      <c r="AH32" s="41" t="str">
        <f>IF(AND('Mapa final'!$AD$48="Media",'Mapa final'!$AF$48="Catastrófico"),CONCATENATE("R7C",'Mapa final'!$T$48),"")</f>
        <v/>
      </c>
      <c r="AI32" s="42" t="str">
        <f>IF(AND('Mapa final'!$AD$49="Media",'Mapa final'!$AF$49="Catastrófico"),CONCATENATE("R7C",'Mapa final'!$T$49),"")</f>
        <v/>
      </c>
      <c r="AJ32" s="42" t="str">
        <f>IF(AND('Mapa final'!$AD$50="Media",'Mapa final'!$AF$50="Catastrófico"),CONCATENATE("R7C",'Mapa final'!$T$50),"")</f>
        <v/>
      </c>
      <c r="AK32" s="42" t="str">
        <f>IF(AND('Mapa final'!$AD$51="Media",'Mapa final'!$AF$51="Catastrófico"),CONCATENATE("R7C",'Mapa final'!$T$51),"")</f>
        <v/>
      </c>
      <c r="AL32" s="42" t="str">
        <f>IF(AND('Mapa final'!$AD$52="Media",'Mapa final'!$AF$52="Catastrófico"),CONCATENATE("R7C",'Mapa final'!$T$52),"")</f>
        <v/>
      </c>
      <c r="AM32" s="43" t="str">
        <f>IF(AND('Mapa final'!$AD$53="Media",'Mapa final'!$AF$53="Catastrófico"),CONCATENATE("R7C",'Mapa final'!$T$53),"")</f>
        <v/>
      </c>
      <c r="AN32" s="69"/>
      <c r="AO32" s="560"/>
      <c r="AP32" s="561"/>
      <c r="AQ32" s="561"/>
      <c r="AR32" s="561"/>
      <c r="AS32" s="561"/>
      <c r="AT32" s="562"/>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row>
    <row r="33" spans="1:80" ht="15" customHeight="1" x14ac:dyDescent="0.25">
      <c r="A33" s="69"/>
      <c r="B33" s="432"/>
      <c r="C33" s="432"/>
      <c r="D33" s="433"/>
      <c r="E33" s="531"/>
      <c r="F33" s="530"/>
      <c r="G33" s="530"/>
      <c r="H33" s="530"/>
      <c r="I33" s="546"/>
      <c r="J33" s="53" t="str">
        <f>IF(AND('Mapa final'!$AD$54="Media",'Mapa final'!$AF$54="Leve"),CONCATENATE("R8C",'Mapa final'!$T$54),"")</f>
        <v/>
      </c>
      <c r="K33" s="54" t="str">
        <f>IF(AND('Mapa final'!$AD$55="Media",'Mapa final'!$AF$55="Leve"),CONCATENATE("R8C",'Mapa final'!$T$55),"")</f>
        <v/>
      </c>
      <c r="L33" s="54" t="str">
        <f>IF(AND('Mapa final'!$AD$56="Media",'Mapa final'!$AF$56="Leve"),CONCATENATE("R8C",'Mapa final'!$T$56),"")</f>
        <v/>
      </c>
      <c r="M33" s="54" t="str">
        <f>IF(AND('Mapa final'!$AD$57="Media",'Mapa final'!$AF$57="Leve"),CONCATENATE("R8C",'Mapa final'!$T$57),"")</f>
        <v/>
      </c>
      <c r="N33" s="54" t="str">
        <f>IF(AND('Mapa final'!$AD$58="Media",'Mapa final'!$AF$58="Leve"),CONCATENATE("R8C",'Mapa final'!$T$58),"")</f>
        <v/>
      </c>
      <c r="O33" s="55" t="str">
        <f>IF(AND('Mapa final'!$AD$59="Media",'Mapa final'!$AF$59="Leve"),CONCATENATE("R8C",'Mapa final'!$T$59),"")</f>
        <v/>
      </c>
      <c r="P33" s="53" t="str">
        <f>IF(AND('Mapa final'!$AD$54="Media",'Mapa final'!$AF$54="Menor"),CONCATENATE("R8C",'Mapa final'!$T$54),"")</f>
        <v/>
      </c>
      <c r="Q33" s="54" t="str">
        <f>IF(AND('Mapa final'!$AD$55="Media",'Mapa final'!$AF$55="Menor"),CONCATENATE("R8C",'Mapa final'!$T$55),"")</f>
        <v/>
      </c>
      <c r="R33" s="54" t="str">
        <f>IF(AND('Mapa final'!$AD$56="Media",'Mapa final'!$AF$56="Menor"),CONCATENATE("R8C",'Mapa final'!$T$56),"")</f>
        <v/>
      </c>
      <c r="S33" s="54" t="str">
        <f>IF(AND('Mapa final'!$AD$57="Media",'Mapa final'!$AF$57="Menor"),CONCATENATE("R8C",'Mapa final'!$T$57),"")</f>
        <v/>
      </c>
      <c r="T33" s="54" t="str">
        <f>IF(AND('Mapa final'!$AD$58="Media",'Mapa final'!$AF$58="Menor"),CONCATENATE("R8C",'Mapa final'!$T$58),"")</f>
        <v/>
      </c>
      <c r="U33" s="55" t="str">
        <f>IF(AND('Mapa final'!$AD$59="Media",'Mapa final'!$AF$59="Menor"),CONCATENATE("R8C",'Mapa final'!$T$59),"")</f>
        <v/>
      </c>
      <c r="V33" s="53" t="str">
        <f>IF(AND('Mapa final'!$AD$54="Media",'Mapa final'!$AF$54="Moderado"),CONCATENATE("R8C",'Mapa final'!$T$54),"")</f>
        <v/>
      </c>
      <c r="W33" s="54" t="str">
        <f>IF(AND('Mapa final'!$AD$55="Media",'Mapa final'!$AF$55="Moderado"),CONCATENATE("R8C",'Mapa final'!$T$55),"")</f>
        <v/>
      </c>
      <c r="X33" s="54" t="str">
        <f>IF(AND('Mapa final'!$AD$56="Media",'Mapa final'!$AF$56="Moderado"),CONCATENATE("R8C",'Mapa final'!$T$56),"")</f>
        <v/>
      </c>
      <c r="Y33" s="54" t="str">
        <f>IF(AND('Mapa final'!$AD$57="Media",'Mapa final'!$AF$57="Moderado"),CONCATENATE("R8C",'Mapa final'!$T$57),"")</f>
        <v/>
      </c>
      <c r="Z33" s="54" t="str">
        <f>IF(AND('Mapa final'!$AD$58="Media",'Mapa final'!$AF$58="Moderado"),CONCATENATE("R8C",'Mapa final'!$T$58),"")</f>
        <v/>
      </c>
      <c r="AA33" s="55" t="str">
        <f>IF(AND('Mapa final'!$AD$59="Media",'Mapa final'!$AF$59="Moderado"),CONCATENATE("R8C",'Mapa final'!$T$59),"")</f>
        <v/>
      </c>
      <c r="AB33" s="38" t="str">
        <f>IF(AND('Mapa final'!$AD$54="Media",'Mapa final'!$AF$54="Mayor"),CONCATENATE("R8C",'Mapa final'!$T$54),"")</f>
        <v/>
      </c>
      <c r="AC33" s="39" t="str">
        <f>IF(AND('Mapa final'!$AD$55="Media",'Mapa final'!$AF$55="Mayor"),CONCATENATE("R8C",'Mapa final'!$T$55),"")</f>
        <v/>
      </c>
      <c r="AD33" s="39" t="str">
        <f>IF(AND('Mapa final'!$AD$56="Media",'Mapa final'!$AF$56="Mayor"),CONCATENATE("R8C",'Mapa final'!$T$56),"")</f>
        <v/>
      </c>
      <c r="AE33" s="39" t="str">
        <f>IF(AND('Mapa final'!$AD$57="Media",'Mapa final'!$AF$57="Mayor"),CONCATENATE("R8C",'Mapa final'!$T$57),"")</f>
        <v/>
      </c>
      <c r="AF33" s="39" t="str">
        <f>IF(AND('Mapa final'!$AD$58="Media",'Mapa final'!$AF$58="Mayor"),CONCATENATE("R8C",'Mapa final'!$T$58),"")</f>
        <v/>
      </c>
      <c r="AG33" s="40" t="str">
        <f>IF(AND('Mapa final'!$AD$59="Media",'Mapa final'!$AF$59="Mayor"),CONCATENATE("R8C",'Mapa final'!$T$59),"")</f>
        <v/>
      </c>
      <c r="AH33" s="41" t="str">
        <f>IF(AND('Mapa final'!$AD$54="Media",'Mapa final'!$AF$54="Catastrófico"),CONCATENATE("R8C",'Mapa final'!$T$54),"")</f>
        <v/>
      </c>
      <c r="AI33" s="42" t="str">
        <f>IF(AND('Mapa final'!$AD$55="Media",'Mapa final'!$AF$55="Catastrófico"),CONCATENATE("R8C",'Mapa final'!$T$55),"")</f>
        <v/>
      </c>
      <c r="AJ33" s="42" t="str">
        <f>IF(AND('Mapa final'!$AD$56="Media",'Mapa final'!$AF$56="Catastrófico"),CONCATENATE("R8C",'Mapa final'!$T$56),"")</f>
        <v/>
      </c>
      <c r="AK33" s="42" t="str">
        <f>IF(AND('Mapa final'!$AD$57="Media",'Mapa final'!$AF$57="Catastrófico"),CONCATENATE("R8C",'Mapa final'!$T$57),"")</f>
        <v/>
      </c>
      <c r="AL33" s="42" t="str">
        <f>IF(AND('Mapa final'!$AD$58="Media",'Mapa final'!$AF$58="Catastrófico"),CONCATENATE("R8C",'Mapa final'!$T$58),"")</f>
        <v/>
      </c>
      <c r="AM33" s="43" t="str">
        <f>IF(AND('Mapa final'!$AD$59="Media",'Mapa final'!$AF$59="Catastrófico"),CONCATENATE("R8C",'Mapa final'!$T$59),"")</f>
        <v/>
      </c>
      <c r="AN33" s="69"/>
      <c r="AO33" s="560"/>
      <c r="AP33" s="561"/>
      <c r="AQ33" s="561"/>
      <c r="AR33" s="561"/>
      <c r="AS33" s="561"/>
      <c r="AT33" s="562"/>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row>
    <row r="34" spans="1:80" ht="15" customHeight="1" x14ac:dyDescent="0.25">
      <c r="A34" s="69"/>
      <c r="B34" s="432"/>
      <c r="C34" s="432"/>
      <c r="D34" s="433"/>
      <c r="E34" s="531"/>
      <c r="F34" s="530"/>
      <c r="G34" s="530"/>
      <c r="H34" s="530"/>
      <c r="I34" s="546"/>
      <c r="J34" s="53" t="str">
        <f>IF(AND('Mapa final'!$AD$60="Media",'Mapa final'!$AF$60="Leve"),CONCATENATE("R9C",'Mapa final'!$T$60),"")</f>
        <v/>
      </c>
      <c r="K34" s="54" t="str">
        <f>IF(AND('Mapa final'!$AD$61="Media",'Mapa final'!$AF$61="Leve"),CONCATENATE("R9C",'Mapa final'!$T$61),"")</f>
        <v/>
      </c>
      <c r="L34" s="54" t="str">
        <f>IF(AND('Mapa final'!$AD$62="Media",'Mapa final'!$AF$62="Leve"),CONCATENATE("R9C",'Mapa final'!$T$62),"")</f>
        <v/>
      </c>
      <c r="M34" s="54" t="str">
        <f>IF(AND('Mapa final'!$AD$63="Media",'Mapa final'!$AF$63="Leve"),CONCATENATE("R9C",'Mapa final'!$T$63),"")</f>
        <v/>
      </c>
      <c r="N34" s="54" t="str">
        <f>IF(AND('Mapa final'!$AD$64="Media",'Mapa final'!$AF$64="Leve"),CONCATENATE("R9C",'Mapa final'!$T$64),"")</f>
        <v/>
      </c>
      <c r="O34" s="55" t="str">
        <f>IF(AND('Mapa final'!$AD$65="Media",'Mapa final'!$AF$65="Leve"),CONCATENATE("R9C",'Mapa final'!$T$65),"")</f>
        <v/>
      </c>
      <c r="P34" s="53" t="str">
        <f>IF(AND('Mapa final'!$AD$60="Media",'Mapa final'!$AF$60="Menor"),CONCATENATE("R9C",'Mapa final'!$T$60),"")</f>
        <v/>
      </c>
      <c r="Q34" s="54" t="str">
        <f>IF(AND('Mapa final'!$AD$61="Media",'Mapa final'!$AF$61="Menor"),CONCATENATE("R9C",'Mapa final'!$T$61),"")</f>
        <v/>
      </c>
      <c r="R34" s="54" t="str">
        <f>IF(AND('Mapa final'!$AD$62="Media",'Mapa final'!$AF$62="Menor"),CONCATENATE("R9C",'Mapa final'!$T$62),"")</f>
        <v/>
      </c>
      <c r="S34" s="54" t="str">
        <f>IF(AND('Mapa final'!$AD$63="Media",'Mapa final'!$AF$63="Menor"),CONCATENATE("R9C",'Mapa final'!$T$63),"")</f>
        <v/>
      </c>
      <c r="T34" s="54" t="str">
        <f>IF(AND('Mapa final'!$AD$64="Media",'Mapa final'!$AF$64="Menor"),CONCATENATE("R9C",'Mapa final'!$T$64),"")</f>
        <v/>
      </c>
      <c r="U34" s="55" t="str">
        <f>IF(AND('Mapa final'!$AD$65="Media",'Mapa final'!$AF$65="Menor"),CONCATENATE("R9C",'Mapa final'!$T$65),"")</f>
        <v/>
      </c>
      <c r="V34" s="53" t="str">
        <f>IF(AND('Mapa final'!$AD$60="Media",'Mapa final'!$AF$60="Moderado"),CONCATENATE("R9C",'Mapa final'!$T$60),"")</f>
        <v/>
      </c>
      <c r="W34" s="54" t="str">
        <f>IF(AND('Mapa final'!$AD$61="Media",'Mapa final'!$AF$61="Moderado"),CONCATENATE("R9C",'Mapa final'!$T$61),"")</f>
        <v/>
      </c>
      <c r="X34" s="54" t="str">
        <f>IF(AND('Mapa final'!$AD$62="Media",'Mapa final'!$AF$62="Moderado"),CONCATENATE("R9C",'Mapa final'!$T$62),"")</f>
        <v/>
      </c>
      <c r="Y34" s="54" t="str">
        <f>IF(AND('Mapa final'!$AD$63="Media",'Mapa final'!$AF$63="Moderado"),CONCATENATE("R9C",'Mapa final'!$T$63),"")</f>
        <v/>
      </c>
      <c r="Z34" s="54" t="str">
        <f>IF(AND('Mapa final'!$AD$64="Media",'Mapa final'!$AF$64="Moderado"),CONCATENATE("R9C",'Mapa final'!$T$64),"")</f>
        <v/>
      </c>
      <c r="AA34" s="55" t="str">
        <f>IF(AND('Mapa final'!$AD$65="Media",'Mapa final'!$AF$65="Moderado"),CONCATENATE("R9C",'Mapa final'!$T$65),"")</f>
        <v/>
      </c>
      <c r="AB34" s="38" t="str">
        <f>IF(AND('Mapa final'!$AD$60="Media",'Mapa final'!$AF$60="Mayor"),CONCATENATE("R9C",'Mapa final'!$T$60),"")</f>
        <v/>
      </c>
      <c r="AC34" s="39" t="str">
        <f>IF(AND('Mapa final'!$AD$61="Media",'Mapa final'!$AF$61="Mayor"),CONCATENATE("R9C",'Mapa final'!$T$61),"")</f>
        <v/>
      </c>
      <c r="AD34" s="39" t="str">
        <f>IF(AND('Mapa final'!$AD$62="Media",'Mapa final'!$AF$62="Mayor"),CONCATENATE("R9C",'Mapa final'!$T$62),"")</f>
        <v/>
      </c>
      <c r="AE34" s="39" t="str">
        <f>IF(AND('Mapa final'!$AD$63="Media",'Mapa final'!$AF$63="Mayor"),CONCATENATE("R9C",'Mapa final'!$T$63),"")</f>
        <v/>
      </c>
      <c r="AF34" s="39" t="str">
        <f>IF(AND('Mapa final'!$AD$64="Media",'Mapa final'!$AF$64="Mayor"),CONCATENATE("R9C",'Mapa final'!$T$64),"")</f>
        <v/>
      </c>
      <c r="AG34" s="40" t="str">
        <f>IF(AND('Mapa final'!$AD$65="Media",'Mapa final'!$AF$65="Mayor"),CONCATENATE("R9C",'Mapa final'!$T$65),"")</f>
        <v/>
      </c>
      <c r="AH34" s="41" t="str">
        <f>IF(AND('Mapa final'!$AD$60="Media",'Mapa final'!$AF$60="Catastrófico"),CONCATENATE("R9C",'Mapa final'!$T$60),"")</f>
        <v/>
      </c>
      <c r="AI34" s="42" t="str">
        <f>IF(AND('Mapa final'!$AD$61="Media",'Mapa final'!$AF$61="Catastrófico"),CONCATENATE("R9C",'Mapa final'!$T$61),"")</f>
        <v/>
      </c>
      <c r="AJ34" s="42" t="str">
        <f>IF(AND('Mapa final'!$AD$62="Media",'Mapa final'!$AF$62="Catastrófico"),CONCATENATE("R9C",'Mapa final'!$T$62),"")</f>
        <v/>
      </c>
      <c r="AK34" s="42" t="str">
        <f>IF(AND('Mapa final'!$AD$63="Media",'Mapa final'!$AF$63="Catastrófico"),CONCATENATE("R9C",'Mapa final'!$T$63),"")</f>
        <v/>
      </c>
      <c r="AL34" s="42" t="str">
        <f>IF(AND('Mapa final'!$AD$64="Media",'Mapa final'!$AF$64="Catastrófico"),CONCATENATE("R9C",'Mapa final'!$T$64),"")</f>
        <v/>
      </c>
      <c r="AM34" s="43" t="str">
        <f>IF(AND('Mapa final'!$AD$65="Media",'Mapa final'!$AF$65="Catastrófico"),CONCATENATE("R9C",'Mapa final'!$T$65),"")</f>
        <v/>
      </c>
      <c r="AN34" s="69"/>
      <c r="AO34" s="560"/>
      <c r="AP34" s="561"/>
      <c r="AQ34" s="561"/>
      <c r="AR34" s="561"/>
      <c r="AS34" s="561"/>
      <c r="AT34" s="562"/>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row>
    <row r="35" spans="1:80" ht="15.75" customHeight="1" thickBot="1" x14ac:dyDescent="0.3">
      <c r="A35" s="69"/>
      <c r="B35" s="432"/>
      <c r="C35" s="432"/>
      <c r="D35" s="433"/>
      <c r="E35" s="532"/>
      <c r="F35" s="533"/>
      <c r="G35" s="533"/>
      <c r="H35" s="533"/>
      <c r="I35" s="547"/>
      <c r="J35" s="53" t="str">
        <f>IF(AND('Mapa final'!$AD$66="Media",'Mapa final'!$AF$66="Leve"),CONCATENATE("R10C",'Mapa final'!$T$66),"")</f>
        <v/>
      </c>
      <c r="K35" s="54" t="str">
        <f>IF(AND('Mapa final'!$AD$67="Media",'Mapa final'!$AF$67="Leve"),CONCATENATE("R10C",'Mapa final'!$T$67),"")</f>
        <v/>
      </c>
      <c r="L35" s="54" t="str">
        <f>IF(AND('Mapa final'!$AD$68="Media",'Mapa final'!$AF$68="Leve"),CONCATENATE("R10C",'Mapa final'!$T$68),"")</f>
        <v/>
      </c>
      <c r="M35" s="54" t="str">
        <f>IF(AND('Mapa final'!$AD$69="Media",'Mapa final'!$AF$69="Leve"),CONCATENATE("R10C",'Mapa final'!$T$69),"")</f>
        <v/>
      </c>
      <c r="N35" s="54" t="str">
        <f>IF(AND('Mapa final'!$AD$70="Media",'Mapa final'!$AF$70="Leve"),CONCATENATE("R10C",'Mapa final'!$T$70),"")</f>
        <v/>
      </c>
      <c r="O35" s="55" t="str">
        <f>IF(AND('Mapa final'!$AD$71="Media",'Mapa final'!$AF$71="Leve"),CONCATENATE("R10C",'Mapa final'!$T$71),"")</f>
        <v/>
      </c>
      <c r="P35" s="53" t="str">
        <f>IF(AND('Mapa final'!$AD$66="Media",'Mapa final'!$AF$66="Menor"),CONCATENATE("R10C",'Mapa final'!$T$66),"")</f>
        <v/>
      </c>
      <c r="Q35" s="54" t="str">
        <f>IF(AND('Mapa final'!$AD$67="Media",'Mapa final'!$AF$67="Menor"),CONCATENATE("R10C",'Mapa final'!$T$67),"")</f>
        <v/>
      </c>
      <c r="R35" s="54" t="str">
        <f>IF(AND('Mapa final'!$AD$68="Media",'Mapa final'!$AF$68="Menor"),CONCATENATE("R10C",'Mapa final'!$T$68),"")</f>
        <v/>
      </c>
      <c r="S35" s="54" t="str">
        <f>IF(AND('Mapa final'!$AD$69="Media",'Mapa final'!$AF$69="Menor"),CONCATENATE("R10C",'Mapa final'!$T$69),"")</f>
        <v/>
      </c>
      <c r="T35" s="54" t="str">
        <f>IF(AND('Mapa final'!$AD$70="Media",'Mapa final'!$AF$70="Menor"),CONCATENATE("R10C",'Mapa final'!$T$70),"")</f>
        <v/>
      </c>
      <c r="U35" s="55" t="str">
        <f>IF(AND('Mapa final'!$AD$71="Media",'Mapa final'!$AF$71="Menor"),CONCATENATE("R10C",'Mapa final'!$T$71),"")</f>
        <v/>
      </c>
      <c r="V35" s="53" t="str">
        <f>IF(AND('Mapa final'!$AD$66="Media",'Mapa final'!$AF$66="Moderado"),CONCATENATE("R10C",'Mapa final'!$T$66),"")</f>
        <v/>
      </c>
      <c r="W35" s="54" t="str">
        <f>IF(AND('Mapa final'!$AD$67="Media",'Mapa final'!$AF$67="Moderado"),CONCATENATE("R10C",'Mapa final'!$T$67),"")</f>
        <v/>
      </c>
      <c r="X35" s="54" t="str">
        <f>IF(AND('Mapa final'!$AD$68="Media",'Mapa final'!$AF$68="Moderado"),CONCATENATE("R10C",'Mapa final'!$T$68),"")</f>
        <v/>
      </c>
      <c r="Y35" s="54" t="str">
        <f>IF(AND('Mapa final'!$AD$69="Media",'Mapa final'!$AF$69="Moderado"),CONCATENATE("R10C",'Mapa final'!$T$69),"")</f>
        <v/>
      </c>
      <c r="Z35" s="54" t="str">
        <f>IF(AND('Mapa final'!$AD$70="Media",'Mapa final'!$AF$70="Moderado"),CONCATENATE("R10C",'Mapa final'!$T$70),"")</f>
        <v/>
      </c>
      <c r="AA35" s="55" t="str">
        <f>IF(AND('Mapa final'!$AD$71="Media",'Mapa final'!$AF$71="Moderado"),CONCATENATE("R10C",'Mapa final'!$T$71),"")</f>
        <v/>
      </c>
      <c r="AB35" s="44" t="str">
        <f>IF(AND('Mapa final'!$AD$66="Media",'Mapa final'!$AF$66="Mayor"),CONCATENATE("R10C",'Mapa final'!$T$66),"")</f>
        <v/>
      </c>
      <c r="AC35" s="45" t="str">
        <f>IF(AND('Mapa final'!$AD$67="Media",'Mapa final'!$AF$67="Mayor"),CONCATENATE("R10C",'Mapa final'!$T$67),"")</f>
        <v/>
      </c>
      <c r="AD35" s="45" t="str">
        <f>IF(AND('Mapa final'!$AD$68="Media",'Mapa final'!$AF$68="Mayor"),CONCATENATE("R10C",'Mapa final'!$T$68),"")</f>
        <v/>
      </c>
      <c r="AE35" s="45" t="str">
        <f>IF(AND('Mapa final'!$AD$69="Media",'Mapa final'!$AF$69="Mayor"),CONCATENATE("R10C",'Mapa final'!$T$69),"")</f>
        <v/>
      </c>
      <c r="AF35" s="45" t="str">
        <f>IF(AND('Mapa final'!$AD$70="Media",'Mapa final'!$AF$70="Mayor"),CONCATENATE("R10C",'Mapa final'!$T$70),"")</f>
        <v/>
      </c>
      <c r="AG35" s="46" t="str">
        <f>IF(AND('Mapa final'!$AD$71="Media",'Mapa final'!$AF$71="Mayor"),CONCATENATE("R10C",'Mapa final'!$T$71),"")</f>
        <v/>
      </c>
      <c r="AH35" s="47" t="str">
        <f>IF(AND('Mapa final'!$AD$66="Media",'Mapa final'!$AF$66="Catastrófico"),CONCATENATE("R10C",'Mapa final'!$T$66),"")</f>
        <v/>
      </c>
      <c r="AI35" s="48" t="str">
        <f>IF(AND('Mapa final'!$AD$67="Media",'Mapa final'!$AF$67="Catastrófico"),CONCATENATE("R10C",'Mapa final'!$T$67),"")</f>
        <v/>
      </c>
      <c r="AJ35" s="48" t="str">
        <f>IF(AND('Mapa final'!$AD$68="Media",'Mapa final'!$AF$68="Catastrófico"),CONCATENATE("R10C",'Mapa final'!$T$68),"")</f>
        <v/>
      </c>
      <c r="AK35" s="48" t="str">
        <f>IF(AND('Mapa final'!$AD$69="Media",'Mapa final'!$AF$69="Catastrófico"),CONCATENATE("R10C",'Mapa final'!$T$69),"")</f>
        <v/>
      </c>
      <c r="AL35" s="48" t="str">
        <f>IF(AND('Mapa final'!$AD$70="Media",'Mapa final'!$AF$70="Catastrófico"),CONCATENATE("R10C",'Mapa final'!$T$70),"")</f>
        <v/>
      </c>
      <c r="AM35" s="49" t="str">
        <f>IF(AND('Mapa final'!$AD$71="Media",'Mapa final'!$AF$71="Catastrófico"),CONCATENATE("R10C",'Mapa final'!$T$71),"")</f>
        <v/>
      </c>
      <c r="AN35" s="69"/>
      <c r="AO35" s="563"/>
      <c r="AP35" s="564"/>
      <c r="AQ35" s="564"/>
      <c r="AR35" s="564"/>
      <c r="AS35" s="564"/>
      <c r="AT35" s="565"/>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row>
    <row r="36" spans="1:80" ht="15" customHeight="1" x14ac:dyDescent="0.25">
      <c r="A36" s="69"/>
      <c r="B36" s="432"/>
      <c r="C36" s="432"/>
      <c r="D36" s="433"/>
      <c r="E36" s="527" t="s">
        <v>114</v>
      </c>
      <c r="F36" s="528"/>
      <c r="G36" s="528"/>
      <c r="H36" s="528"/>
      <c r="I36" s="528"/>
      <c r="J36" s="59" t="str">
        <f>IF(AND('Mapa final'!$AD$12="Baja",'Mapa final'!$AF$12="Leve"),CONCATENATE("R1C",'Mapa final'!$T$12),"")</f>
        <v/>
      </c>
      <c r="K36" s="60" t="str">
        <f>IF(AND('Mapa final'!$AD$13="Baja",'Mapa final'!$AF$13="Leve"),CONCATENATE("R1C",'Mapa final'!$T$13),"")</f>
        <v/>
      </c>
      <c r="L36" s="60" t="str">
        <f>IF(AND('Mapa final'!$AD$14="Baja",'Mapa final'!$AF$14="Leve"),CONCATENATE("R1C",'Mapa final'!$T$14),"")</f>
        <v/>
      </c>
      <c r="M36" s="60" t="str">
        <f>IF(AND('Mapa final'!$AD$15="Baja",'Mapa final'!$AF$15="Leve"),CONCATENATE("R1C",'Mapa final'!$T$15),"")</f>
        <v/>
      </c>
      <c r="N36" s="60" t="str">
        <f>IF(AND('Mapa final'!$AD$16="Baja",'Mapa final'!$AF$16="Leve"),CONCATENATE("R1C",'Mapa final'!$T$16),"")</f>
        <v/>
      </c>
      <c r="O36" s="61" t="str">
        <f>IF(AND('Mapa final'!$AD$17="Baja",'Mapa final'!$AF$17="Leve"),CONCATENATE("R1C",'Mapa final'!$T$17),"")</f>
        <v/>
      </c>
      <c r="P36" s="50" t="str">
        <f>IF(AND('Mapa final'!$AD$12="Baja",'Mapa final'!$AF$12="Menor"),CONCATENATE("R1C",'Mapa final'!$T$12),"")</f>
        <v/>
      </c>
      <c r="Q36" s="51" t="str">
        <f>IF(AND('Mapa final'!$AD$13="Baja",'Mapa final'!$AF$13="Menor"),CONCATENATE("R1C",'Mapa final'!$T$13),"")</f>
        <v/>
      </c>
      <c r="R36" s="51" t="str">
        <f>IF(AND('Mapa final'!$AD$14="Baja",'Mapa final'!$AF$14="Menor"),CONCATENATE("R1C",'Mapa final'!$T$14),"")</f>
        <v/>
      </c>
      <c r="S36" s="51" t="str">
        <f>IF(AND('Mapa final'!$AD$15="Baja",'Mapa final'!$AF$15="Menor"),CONCATENATE("R1C",'Mapa final'!$T$15),"")</f>
        <v/>
      </c>
      <c r="T36" s="51" t="str">
        <f>IF(AND('Mapa final'!$AD$16="Baja",'Mapa final'!$AF$16="Menor"),CONCATENATE("R1C",'Mapa final'!$T$16),"")</f>
        <v/>
      </c>
      <c r="U36" s="52" t="str">
        <f>IF(AND('Mapa final'!$AD$17="Baja",'Mapa final'!$AF$17="Menor"),CONCATENATE("R1C",'Mapa final'!$T$17),"")</f>
        <v/>
      </c>
      <c r="V36" s="50" t="str">
        <f>IF(AND('Mapa final'!$AD$12="Baja",'Mapa final'!$AF$12="Moderado"),CONCATENATE("R1C",'Mapa final'!$T$12),"")</f>
        <v/>
      </c>
      <c r="W36" s="51" t="str">
        <f>IF(AND('Mapa final'!$AD$13="Baja",'Mapa final'!$AF$13="Moderado"),CONCATENATE("R1C",'Mapa final'!$T$13),"")</f>
        <v>R1C2</v>
      </c>
      <c r="X36" s="51" t="str">
        <f>IF(AND('Mapa final'!$AD$14="Baja",'Mapa final'!$AF$14="Moderado"),CONCATENATE("R1C",'Mapa final'!$T$14),"")</f>
        <v/>
      </c>
      <c r="Y36" s="51" t="str">
        <f>IF(AND('Mapa final'!$AD$15="Baja",'Mapa final'!$AF$15="Moderado"),CONCATENATE("R1C",'Mapa final'!$T$15),"")</f>
        <v/>
      </c>
      <c r="Z36" s="51" t="str">
        <f>IF(AND('Mapa final'!$AD$16="Baja",'Mapa final'!$AF$16="Moderado"),CONCATENATE("R1C",'Mapa final'!$T$16),"")</f>
        <v/>
      </c>
      <c r="AA36" s="52" t="str">
        <f>IF(AND('Mapa final'!$AD$17="Baja",'Mapa final'!$AF$17="Moderado"),CONCATENATE("R1C",'Mapa final'!$T$17),"")</f>
        <v/>
      </c>
      <c r="AB36" s="32" t="str">
        <f>IF(AND('Mapa final'!$AD$12="Baja",'Mapa final'!$AF$12="Mayor"),CONCATENATE("R1C",'Mapa final'!$T$12),"")</f>
        <v/>
      </c>
      <c r="AC36" s="33" t="str">
        <f>IF(AND('Mapa final'!$AD$13="Baja",'Mapa final'!$AF$13="Mayor"),CONCATENATE("R1C",'Mapa final'!$T$13),"")</f>
        <v/>
      </c>
      <c r="AD36" s="33" t="str">
        <f>IF(AND('Mapa final'!$AD$14="Baja",'Mapa final'!$AF$14="Mayor"),CONCATENATE("R1C",'Mapa final'!$T$14),"")</f>
        <v/>
      </c>
      <c r="AE36" s="33" t="str">
        <f>IF(AND('Mapa final'!$AD$15="Baja",'Mapa final'!$AF$15="Mayor"),CONCATENATE("R1C",'Mapa final'!$T$15),"")</f>
        <v/>
      </c>
      <c r="AF36" s="33" t="str">
        <f>IF(AND('Mapa final'!$AD$16="Baja",'Mapa final'!$AF$16="Mayor"),CONCATENATE("R1C",'Mapa final'!$T$16),"")</f>
        <v/>
      </c>
      <c r="AG36" s="34" t="str">
        <f>IF(AND('Mapa final'!$AD$17="Baja",'Mapa final'!$AF$17="Mayor"),CONCATENATE("R1C",'Mapa final'!$T$17),"")</f>
        <v/>
      </c>
      <c r="AH36" s="35" t="str">
        <f>IF(AND('Mapa final'!$AD$12="Baja",'Mapa final'!$AF$12="Catastrófico"),CONCATENATE("R1C",'Mapa final'!$T$12),"")</f>
        <v/>
      </c>
      <c r="AI36" s="36" t="str">
        <f>IF(AND('Mapa final'!$AD$13="Baja",'Mapa final'!$AF$13="Catastrófico"),CONCATENATE("R1C",'Mapa final'!$T$13),"")</f>
        <v/>
      </c>
      <c r="AJ36" s="36" t="str">
        <f>IF(AND('Mapa final'!$AD$14="Baja",'Mapa final'!$AF$14="Catastrófico"),CONCATENATE("R1C",'Mapa final'!$T$14),"")</f>
        <v/>
      </c>
      <c r="AK36" s="36" t="str">
        <f>IF(AND('Mapa final'!$AD$15="Baja",'Mapa final'!$AF$15="Catastrófico"),CONCATENATE("R1C",'Mapa final'!$T$15),"")</f>
        <v/>
      </c>
      <c r="AL36" s="36" t="str">
        <f>IF(AND('Mapa final'!$AD$16="Baja",'Mapa final'!$AF$16="Catastrófico"),CONCATENATE("R1C",'Mapa final'!$T$16),"")</f>
        <v/>
      </c>
      <c r="AM36" s="37" t="str">
        <f>IF(AND('Mapa final'!$AD$17="Baja",'Mapa final'!$AF$17="Catastrófico"),CONCATENATE("R1C",'Mapa final'!$T$17),"")</f>
        <v/>
      </c>
      <c r="AN36" s="69"/>
      <c r="AO36" s="548" t="s">
        <v>82</v>
      </c>
      <c r="AP36" s="549"/>
      <c r="AQ36" s="549"/>
      <c r="AR36" s="549"/>
      <c r="AS36" s="549"/>
      <c r="AT36" s="550"/>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row>
    <row r="37" spans="1:80" ht="15" customHeight="1" x14ac:dyDescent="0.25">
      <c r="A37" s="69"/>
      <c r="B37" s="432"/>
      <c r="C37" s="432"/>
      <c r="D37" s="433"/>
      <c r="E37" s="529"/>
      <c r="F37" s="530"/>
      <c r="G37" s="530"/>
      <c r="H37" s="530"/>
      <c r="I37" s="530"/>
      <c r="J37" s="62" t="str">
        <f>IF(AND('Mapa final'!$AD$18="Baja",'Mapa final'!$AF$18="Leve"),CONCATENATE("R2C",'Mapa final'!$T$18),"")</f>
        <v/>
      </c>
      <c r="K37" s="63" t="str">
        <f>IF(AND('Mapa final'!$AD$19="Baja",'Mapa final'!$AF$19="Leve"),CONCATENATE("R2C",'Mapa final'!$T$19),"")</f>
        <v/>
      </c>
      <c r="L37" s="63" t="str">
        <f>IF(AND('Mapa final'!$AD$20="Baja",'Mapa final'!$AF$20="Leve"),CONCATENATE("R2C",'Mapa final'!$T$20),"")</f>
        <v/>
      </c>
      <c r="M37" s="63" t="str">
        <f>IF(AND('Mapa final'!$AD$21="Baja",'Mapa final'!$AF$21="Leve"),CONCATENATE("R2C",'Mapa final'!$T$21),"")</f>
        <v/>
      </c>
      <c r="N37" s="63" t="str">
        <f>IF(AND('Mapa final'!$AD$22="Baja",'Mapa final'!$AF$22="Leve"),CONCATENATE("R2C",'Mapa final'!$T$22),"")</f>
        <v/>
      </c>
      <c r="O37" s="64" t="str">
        <f>IF(AND('Mapa final'!$AD$23="Baja",'Mapa final'!$AF$23="Leve"),CONCATENATE("R2C",'Mapa final'!$T$23),"")</f>
        <v/>
      </c>
      <c r="P37" s="53" t="str">
        <f>IF(AND('Mapa final'!$AD$18="Baja",'Mapa final'!$AF$18="Menor"),CONCATENATE("R2C",'Mapa final'!$T$18),"")</f>
        <v/>
      </c>
      <c r="Q37" s="54" t="str">
        <f>IF(AND('Mapa final'!$AD$19="Baja",'Mapa final'!$AF$19="Menor"),CONCATENATE("R2C",'Mapa final'!$T$19),"")</f>
        <v/>
      </c>
      <c r="R37" s="54" t="str">
        <f>IF(AND('Mapa final'!$AD$20="Baja",'Mapa final'!$AF$20="Menor"),CONCATENATE("R2C",'Mapa final'!$T$20),"")</f>
        <v/>
      </c>
      <c r="S37" s="54" t="str">
        <f>IF(AND('Mapa final'!$AD$21="Baja",'Mapa final'!$AF$21="Menor"),CONCATENATE("R2C",'Mapa final'!$T$21),"")</f>
        <v/>
      </c>
      <c r="T37" s="54" t="str">
        <f>IF(AND('Mapa final'!$AD$22="Baja",'Mapa final'!$AF$22="Menor"),CONCATENATE("R2C",'Mapa final'!$T$22),"")</f>
        <v/>
      </c>
      <c r="U37" s="55" t="str">
        <f>IF(AND('Mapa final'!$AD$23="Baja",'Mapa final'!$AF$23="Menor"),CONCATENATE("R2C",'Mapa final'!$T$23),"")</f>
        <v/>
      </c>
      <c r="V37" s="53" t="str">
        <f>IF(AND('Mapa final'!$AD$18="Baja",'Mapa final'!$AF$18="Moderado"),CONCATENATE("R2C",'Mapa final'!$T$18),"")</f>
        <v/>
      </c>
      <c r="W37" s="54" t="str">
        <f>IF(AND('Mapa final'!$AD$19="Baja",'Mapa final'!$AF$19="Moderado"),CONCATENATE("R2C",'Mapa final'!$T$19),"")</f>
        <v/>
      </c>
      <c r="X37" s="54" t="str">
        <f>IF(AND('Mapa final'!$AD$20="Baja",'Mapa final'!$AF$20="Moderado"),CONCATENATE("R2C",'Mapa final'!$T$20),"")</f>
        <v/>
      </c>
      <c r="Y37" s="54" t="str">
        <f>IF(AND('Mapa final'!$AD$21="Baja",'Mapa final'!$AF$21="Moderado"),CONCATENATE("R2C",'Mapa final'!$T$21),"")</f>
        <v/>
      </c>
      <c r="Z37" s="54" t="str">
        <f>IF(AND('Mapa final'!$AD$22="Baja",'Mapa final'!$AF$22="Moderado"),CONCATENATE("R2C",'Mapa final'!$T$22),"")</f>
        <v/>
      </c>
      <c r="AA37" s="55" t="str">
        <f>IF(AND('Mapa final'!$AD$23="Baja",'Mapa final'!$AF$23="Moderado"),CONCATENATE("R2C",'Mapa final'!$T$23),"")</f>
        <v/>
      </c>
      <c r="AB37" s="38" t="str">
        <f>IF(AND('Mapa final'!$AD$18="Baja",'Mapa final'!$AF$18="Mayor"),CONCATENATE("R2C",'Mapa final'!$T$18),"")</f>
        <v/>
      </c>
      <c r="AC37" s="39" t="str">
        <f>IF(AND('Mapa final'!$AD$19="Baja",'Mapa final'!$AF$19="Mayor"),CONCATENATE("R2C",'Mapa final'!$T$19),"")</f>
        <v/>
      </c>
      <c r="AD37" s="39" t="str">
        <f>IF(AND('Mapa final'!$AD$20="Baja",'Mapa final'!$AF$20="Mayor"),CONCATENATE("R2C",'Mapa final'!$T$20),"")</f>
        <v/>
      </c>
      <c r="AE37" s="39" t="str">
        <f>IF(AND('Mapa final'!$AD$21="Baja",'Mapa final'!$AF$21="Mayor"),CONCATENATE("R2C",'Mapa final'!$T$21),"")</f>
        <v/>
      </c>
      <c r="AF37" s="39" t="str">
        <f>IF(AND('Mapa final'!$AD$22="Baja",'Mapa final'!$AF$22="Mayor"),CONCATENATE("R2C",'Mapa final'!$T$22),"")</f>
        <v/>
      </c>
      <c r="AG37" s="40" t="str">
        <f>IF(AND('Mapa final'!$AD$23="Baja",'Mapa final'!$AF$23="Mayor"),CONCATENATE("R2C",'Mapa final'!$T$23),"")</f>
        <v/>
      </c>
      <c r="AH37" s="41" t="str">
        <f>IF(AND('Mapa final'!$AD$18="Baja",'Mapa final'!$AF$18="Catastrófico"),CONCATENATE("R2C",'Mapa final'!$T$18),"")</f>
        <v>R2C1</v>
      </c>
      <c r="AI37" s="42" t="str">
        <f>IF(AND('Mapa final'!$AD$19="Baja",'Mapa final'!$AF$19="Catastrófico"),CONCATENATE("R2C",'Mapa final'!$T$19),"")</f>
        <v/>
      </c>
      <c r="AJ37" s="42" t="str">
        <f>IF(AND('Mapa final'!$AD$20="Baja",'Mapa final'!$AF$20="Catastrófico"),CONCATENATE("R2C",'Mapa final'!$T$20),"")</f>
        <v/>
      </c>
      <c r="AK37" s="42" t="str">
        <f>IF(AND('Mapa final'!$AD$21="Baja",'Mapa final'!$AF$21="Catastrófico"),CONCATENATE("R2C",'Mapa final'!$T$21),"")</f>
        <v/>
      </c>
      <c r="AL37" s="42" t="str">
        <f>IF(AND('Mapa final'!$AD$22="Baja",'Mapa final'!$AF$22="Catastrófico"),CONCATENATE("R2C",'Mapa final'!$T$22),"")</f>
        <v/>
      </c>
      <c r="AM37" s="43" t="str">
        <f>IF(AND('Mapa final'!$AD$23="Baja",'Mapa final'!$AF$23="Catastrófico"),CONCATENATE("R2C",'Mapa final'!$T$23),"")</f>
        <v/>
      </c>
      <c r="AN37" s="69"/>
      <c r="AO37" s="551"/>
      <c r="AP37" s="552"/>
      <c r="AQ37" s="552"/>
      <c r="AR37" s="552"/>
      <c r="AS37" s="552"/>
      <c r="AT37" s="553"/>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row>
    <row r="38" spans="1:80" ht="15" customHeight="1" x14ac:dyDescent="0.25">
      <c r="A38" s="69"/>
      <c r="B38" s="432"/>
      <c r="C38" s="432"/>
      <c r="D38" s="433"/>
      <c r="E38" s="531"/>
      <c r="F38" s="530"/>
      <c r="G38" s="530"/>
      <c r="H38" s="530"/>
      <c r="I38" s="530"/>
      <c r="J38" s="62" t="str">
        <f>IF(AND('Mapa final'!$AD$24="Baja",'Mapa final'!$AF$24="Leve"),CONCATENATE("R3C",'Mapa final'!$T$24),"")</f>
        <v/>
      </c>
      <c r="K38" s="63" t="str">
        <f>IF(AND('Mapa final'!$AD$25="Baja",'Mapa final'!$AF$25="Leve"),CONCATENATE("R3C",'Mapa final'!$T$25),"")</f>
        <v/>
      </c>
      <c r="L38" s="63" t="str">
        <f>IF(AND('Mapa final'!$AD$26="Baja",'Mapa final'!$AF$26="Leve"),CONCATENATE("R3C",'Mapa final'!$T$26),"")</f>
        <v/>
      </c>
      <c r="M38" s="63" t="str">
        <f>IF(AND('Mapa final'!$AD$27="Baja",'Mapa final'!$AF$27="Leve"),CONCATENATE("R3C",'Mapa final'!$T$27),"")</f>
        <v/>
      </c>
      <c r="N38" s="63" t="str">
        <f>IF(AND('Mapa final'!$AD$28="Baja",'Mapa final'!$AF$28="Leve"),CONCATENATE("R3C",'Mapa final'!$T$28),"")</f>
        <v/>
      </c>
      <c r="O38" s="64" t="str">
        <f>IF(AND('Mapa final'!$AD$29="Baja",'Mapa final'!$AF$29="Leve"),CONCATENATE("R3C",'Mapa final'!$T$29),"")</f>
        <v/>
      </c>
      <c r="P38" s="53" t="str">
        <f>IF(AND('Mapa final'!$AD$24="Baja",'Mapa final'!$AF$24="Menor"),CONCATENATE("R3C",'Mapa final'!$T$24),"")</f>
        <v/>
      </c>
      <c r="Q38" s="54" t="str">
        <f>IF(AND('Mapa final'!$AD$25="Baja",'Mapa final'!$AF$25="Menor"),CONCATENATE("R3C",'Mapa final'!$T$25),"")</f>
        <v/>
      </c>
      <c r="R38" s="54" t="str">
        <f>IF(AND('Mapa final'!$AD$26="Baja",'Mapa final'!$AF$26="Menor"),CONCATENATE("R3C",'Mapa final'!$T$26),"")</f>
        <v/>
      </c>
      <c r="S38" s="54" t="str">
        <f>IF(AND('Mapa final'!$AD$27="Baja",'Mapa final'!$AF$27="Menor"),CONCATENATE("R3C",'Mapa final'!$T$27),"")</f>
        <v/>
      </c>
      <c r="T38" s="54" t="str">
        <f>IF(AND('Mapa final'!$AD$28="Baja",'Mapa final'!$AF$28="Menor"),CONCATENATE("R3C",'Mapa final'!$T$28),"")</f>
        <v/>
      </c>
      <c r="U38" s="55" t="str">
        <f>IF(AND('Mapa final'!$AD$29="Baja",'Mapa final'!$AF$29="Menor"),CONCATENATE("R3C",'Mapa final'!$T$29),"")</f>
        <v/>
      </c>
      <c r="V38" s="53" t="str">
        <f>IF(AND('Mapa final'!$AD$24="Baja",'Mapa final'!$AF$24="Moderado"),CONCATENATE("R3C",'Mapa final'!$T$24),"")</f>
        <v/>
      </c>
      <c r="W38" s="54" t="str">
        <f>IF(AND('Mapa final'!$AD$25="Baja",'Mapa final'!$AF$25="Moderado"),CONCATENATE("R3C",'Mapa final'!$T$25),"")</f>
        <v/>
      </c>
      <c r="X38" s="54" t="str">
        <f>IF(AND('Mapa final'!$AD$26="Baja",'Mapa final'!$AF$26="Moderado"),CONCATENATE("R3C",'Mapa final'!$T$26),"")</f>
        <v/>
      </c>
      <c r="Y38" s="54" t="str">
        <f>IF(AND('Mapa final'!$AD$27="Baja",'Mapa final'!$AF$27="Moderado"),CONCATENATE("R3C",'Mapa final'!$T$27),"")</f>
        <v/>
      </c>
      <c r="Z38" s="54" t="str">
        <f>IF(AND('Mapa final'!$AD$28="Baja",'Mapa final'!$AF$28="Moderado"),CONCATENATE("R3C",'Mapa final'!$T$28),"")</f>
        <v/>
      </c>
      <c r="AA38" s="55" t="str">
        <f>IF(AND('Mapa final'!$AD$29="Baja",'Mapa final'!$AF$29="Moderado"),CONCATENATE("R3C",'Mapa final'!$T$29),"")</f>
        <v/>
      </c>
      <c r="AB38" s="38" t="str">
        <f>IF(AND('Mapa final'!$AD$24="Baja",'Mapa final'!$AF$24="Mayor"),CONCATENATE("R3C",'Mapa final'!$T$24),"")</f>
        <v/>
      </c>
      <c r="AC38" s="39" t="str">
        <f>IF(AND('Mapa final'!$AD$25="Baja",'Mapa final'!$AF$25="Mayor"),CONCATENATE("R3C",'Mapa final'!$T$25),"")</f>
        <v/>
      </c>
      <c r="AD38" s="39" t="str">
        <f>IF(AND('Mapa final'!$AD$26="Baja",'Mapa final'!$AF$26="Mayor"),CONCATENATE("R3C",'Mapa final'!$T$26),"")</f>
        <v/>
      </c>
      <c r="AE38" s="39" t="str">
        <f>IF(AND('Mapa final'!$AD$27="Baja",'Mapa final'!$AF$27="Mayor"),CONCATENATE("R3C",'Mapa final'!$T$27),"")</f>
        <v/>
      </c>
      <c r="AF38" s="39" t="str">
        <f>IF(AND('Mapa final'!$AD$28="Baja",'Mapa final'!$AF$28="Mayor"),CONCATENATE("R3C",'Mapa final'!$T$28),"")</f>
        <v/>
      </c>
      <c r="AG38" s="40" t="str">
        <f>IF(AND('Mapa final'!$AD$29="Baja",'Mapa final'!$AF$29="Mayor"),CONCATENATE("R3C",'Mapa final'!$T$29),"")</f>
        <v/>
      </c>
      <c r="AH38" s="41" t="str">
        <f>IF(AND('Mapa final'!$AD$24="Baja",'Mapa final'!$AF$24="Catastrófico"),CONCATENATE("R3C",'Mapa final'!$T$24),"")</f>
        <v/>
      </c>
      <c r="AI38" s="42" t="str">
        <f>IF(AND('Mapa final'!$AD$25="Baja",'Mapa final'!$AF$25="Catastrófico"),CONCATENATE("R3C",'Mapa final'!$T$25),"")</f>
        <v>R3C2</v>
      </c>
      <c r="AJ38" s="42" t="str">
        <f>IF(AND('Mapa final'!$AD$26="Baja",'Mapa final'!$AF$26="Catastrófico"),CONCATENATE("R3C",'Mapa final'!$T$26),"")</f>
        <v>R3C3</v>
      </c>
      <c r="AK38" s="42" t="str">
        <f>IF(AND('Mapa final'!$AD$27="Baja",'Mapa final'!$AF$27="Catastrófico"),CONCATENATE("R3C",'Mapa final'!$T$27),"")</f>
        <v/>
      </c>
      <c r="AL38" s="42" t="str">
        <f>IF(AND('Mapa final'!$AD$28="Baja",'Mapa final'!$AF$28="Catastrófico"),CONCATENATE("R3C",'Mapa final'!$T$28),"")</f>
        <v/>
      </c>
      <c r="AM38" s="43" t="str">
        <f>IF(AND('Mapa final'!$AD$29="Baja",'Mapa final'!$AF$29="Catastrófico"),CONCATENATE("R3C",'Mapa final'!$T$29),"")</f>
        <v/>
      </c>
      <c r="AN38" s="69"/>
      <c r="AO38" s="551"/>
      <c r="AP38" s="552"/>
      <c r="AQ38" s="552"/>
      <c r="AR38" s="552"/>
      <c r="AS38" s="552"/>
      <c r="AT38" s="553"/>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row>
    <row r="39" spans="1:80" ht="15" customHeight="1" x14ac:dyDescent="0.25">
      <c r="A39" s="69"/>
      <c r="B39" s="432"/>
      <c r="C39" s="432"/>
      <c r="D39" s="433"/>
      <c r="E39" s="531"/>
      <c r="F39" s="530"/>
      <c r="G39" s="530"/>
      <c r="H39" s="530"/>
      <c r="I39" s="530"/>
      <c r="J39" s="62" t="str">
        <f>IF(AND('Mapa final'!$AD$30="Baja",'Mapa final'!$AF$30="Leve"),CONCATENATE("R4C",'Mapa final'!$T$30),"")</f>
        <v/>
      </c>
      <c r="K39" s="63" t="str">
        <f>IF(AND('Mapa final'!$AD$31="Baja",'Mapa final'!$AF$31="Leve"),CONCATENATE("R4C",'Mapa final'!$T$31),"")</f>
        <v/>
      </c>
      <c r="L39" s="63" t="str">
        <f>IF(AND('Mapa final'!$AD$32="Baja",'Mapa final'!$AF$32="Leve"),CONCATENATE("R4C",'Mapa final'!$T$32),"")</f>
        <v/>
      </c>
      <c r="M39" s="63" t="str">
        <f>IF(AND('Mapa final'!$AD$33="Baja",'Mapa final'!$AF$33="Leve"),CONCATENATE("R4C",'Mapa final'!$T$33),"")</f>
        <v/>
      </c>
      <c r="N39" s="63" t="str">
        <f>IF(AND('Mapa final'!$AD$34="Baja",'Mapa final'!$AF$34="Leve"),CONCATENATE("R4C",'Mapa final'!$T$34),"")</f>
        <v/>
      </c>
      <c r="O39" s="64" t="str">
        <f>IF(AND('Mapa final'!$AD$35="Baja",'Mapa final'!$AF$35="Leve"),CONCATENATE("R4C",'Mapa final'!$T$35),"")</f>
        <v/>
      </c>
      <c r="P39" s="53" t="str">
        <f>IF(AND('Mapa final'!$AD$30="Baja",'Mapa final'!$AF$30="Menor"),CONCATENATE("R4C",'Mapa final'!$T$30),"")</f>
        <v/>
      </c>
      <c r="Q39" s="54" t="str">
        <f>IF(AND('Mapa final'!$AD$31="Baja",'Mapa final'!$AF$31="Menor"),CONCATENATE("R4C",'Mapa final'!$T$31),"")</f>
        <v/>
      </c>
      <c r="R39" s="54" t="str">
        <f>IF(AND('Mapa final'!$AD$32="Baja",'Mapa final'!$AF$32="Menor"),CONCATENATE("R4C",'Mapa final'!$T$32),"")</f>
        <v/>
      </c>
      <c r="S39" s="54" t="str">
        <f>IF(AND('Mapa final'!$AD$33="Baja",'Mapa final'!$AF$33="Menor"),CONCATENATE("R4C",'Mapa final'!$T$33),"")</f>
        <v/>
      </c>
      <c r="T39" s="54" t="str">
        <f>IF(AND('Mapa final'!$AD$34="Baja",'Mapa final'!$AF$34="Menor"),CONCATENATE("R4C",'Mapa final'!$T$34),"")</f>
        <v/>
      </c>
      <c r="U39" s="55" t="str">
        <f>IF(AND('Mapa final'!$AD$35="Baja",'Mapa final'!$AF$35="Menor"),CONCATENATE("R4C",'Mapa final'!$T$35),"")</f>
        <v/>
      </c>
      <c r="V39" s="53" t="str">
        <f>IF(AND('Mapa final'!$AD$30="Baja",'Mapa final'!$AF$30="Moderado"),CONCATENATE("R4C",'Mapa final'!$T$30),"")</f>
        <v/>
      </c>
      <c r="W39" s="54" t="str">
        <f>IF(AND('Mapa final'!$AD$31="Baja",'Mapa final'!$AF$31="Moderado"),CONCATENATE("R4C",'Mapa final'!$T$31),"")</f>
        <v/>
      </c>
      <c r="X39" s="54" t="str">
        <f>IF(AND('Mapa final'!$AD$32="Baja",'Mapa final'!$AF$32="Moderado"),CONCATENATE("R4C",'Mapa final'!$T$32),"")</f>
        <v/>
      </c>
      <c r="Y39" s="54" t="str">
        <f>IF(AND('Mapa final'!$AD$33="Baja",'Mapa final'!$AF$33="Moderado"),CONCATENATE("R4C",'Mapa final'!$T$33),"")</f>
        <v/>
      </c>
      <c r="Z39" s="54" t="str">
        <f>IF(AND('Mapa final'!$AD$34="Baja",'Mapa final'!$AF$34="Moderado"),CONCATENATE("R4C",'Mapa final'!$T$34),"")</f>
        <v/>
      </c>
      <c r="AA39" s="55" t="str">
        <f>IF(AND('Mapa final'!$AD$35="Baja",'Mapa final'!$AF$35="Moderado"),CONCATENATE("R4C",'Mapa final'!$T$35),"")</f>
        <v/>
      </c>
      <c r="AB39" s="38" t="str">
        <f>IF(AND('Mapa final'!$AD$30="Baja",'Mapa final'!$AF$30="Mayor"),CONCATENATE("R4C",'Mapa final'!$T$30),"")</f>
        <v/>
      </c>
      <c r="AC39" s="39" t="str">
        <f>IF(AND('Mapa final'!$AD$31="Baja",'Mapa final'!$AF$31="Mayor"),CONCATENATE("R4C",'Mapa final'!$T$31),"")</f>
        <v>R4C2</v>
      </c>
      <c r="AD39" s="39" t="str">
        <f>IF(AND('Mapa final'!$AD$32="Baja",'Mapa final'!$AF$32="Mayor"),CONCATENATE("R4C",'Mapa final'!$T$32),"")</f>
        <v/>
      </c>
      <c r="AE39" s="39" t="str">
        <f>IF(AND('Mapa final'!$AD$33="Baja",'Mapa final'!$AF$33="Mayor"),CONCATENATE("R4C",'Mapa final'!$T$33),"")</f>
        <v/>
      </c>
      <c r="AF39" s="39" t="str">
        <f>IF(AND('Mapa final'!$AD$34="Baja",'Mapa final'!$AF$34="Mayor"),CONCATENATE("R4C",'Mapa final'!$T$34),"")</f>
        <v/>
      </c>
      <c r="AG39" s="40" t="str">
        <f>IF(AND('Mapa final'!$AD$35="Baja",'Mapa final'!$AF$35="Mayor"),CONCATENATE("R4C",'Mapa final'!$T$35),"")</f>
        <v/>
      </c>
      <c r="AH39" s="41" t="str">
        <f>IF(AND('Mapa final'!$AD$30="Baja",'Mapa final'!$AF$30="Catastrófico"),CONCATENATE("R4C",'Mapa final'!$T$30),"")</f>
        <v/>
      </c>
      <c r="AI39" s="42" t="str">
        <f>IF(AND('Mapa final'!$AD$31="Baja",'Mapa final'!$AF$31="Catastrófico"),CONCATENATE("R4C",'Mapa final'!$T$31),"")</f>
        <v/>
      </c>
      <c r="AJ39" s="42" t="str">
        <f>IF(AND('Mapa final'!$AD$32="Baja",'Mapa final'!$AF$32="Catastrófico"),CONCATENATE("R4C",'Mapa final'!$T$32),"")</f>
        <v/>
      </c>
      <c r="AK39" s="42" t="str">
        <f>IF(AND('Mapa final'!$AD$33="Baja",'Mapa final'!$AF$33="Catastrófico"),CONCATENATE("R4C",'Mapa final'!$T$33),"")</f>
        <v/>
      </c>
      <c r="AL39" s="42" t="str">
        <f>IF(AND('Mapa final'!$AD$34="Baja",'Mapa final'!$AF$34="Catastrófico"),CONCATENATE("R4C",'Mapa final'!$T$34),"")</f>
        <v/>
      </c>
      <c r="AM39" s="43" t="str">
        <f>IF(AND('Mapa final'!$AD$35="Baja",'Mapa final'!$AF$35="Catastrófico"),CONCATENATE("R4C",'Mapa final'!$T$35),"")</f>
        <v/>
      </c>
      <c r="AN39" s="69"/>
      <c r="AO39" s="551"/>
      <c r="AP39" s="552"/>
      <c r="AQ39" s="552"/>
      <c r="AR39" s="552"/>
      <c r="AS39" s="552"/>
      <c r="AT39" s="553"/>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row>
    <row r="40" spans="1:80" ht="15" customHeight="1" x14ac:dyDescent="0.25">
      <c r="A40" s="69"/>
      <c r="B40" s="432"/>
      <c r="C40" s="432"/>
      <c r="D40" s="433"/>
      <c r="E40" s="531"/>
      <c r="F40" s="530"/>
      <c r="G40" s="530"/>
      <c r="H40" s="530"/>
      <c r="I40" s="530"/>
      <c r="J40" s="62" t="str">
        <f>IF(AND('Mapa final'!$AD$36="Baja",'Mapa final'!$AF$36="Leve"),CONCATENATE("R5C",'Mapa final'!$T$36),"")</f>
        <v/>
      </c>
      <c r="K40" s="63" t="str">
        <f>IF(AND('Mapa final'!$AD$37="Baja",'Mapa final'!$AF$37="Leve"),CONCATENATE("R5C",'Mapa final'!$T$37),"")</f>
        <v/>
      </c>
      <c r="L40" s="63" t="str">
        <f>IF(AND('Mapa final'!$AD$38="Baja",'Mapa final'!$AF$38="Leve"),CONCATENATE("R5C",'Mapa final'!$T$38),"")</f>
        <v/>
      </c>
      <c r="M40" s="63" t="str">
        <f>IF(AND('Mapa final'!$AD$39="Baja",'Mapa final'!$AF$39="Leve"),CONCATENATE("R5C",'Mapa final'!$T$39),"")</f>
        <v/>
      </c>
      <c r="N40" s="63" t="str">
        <f>IF(AND('Mapa final'!$AD$40="Baja",'Mapa final'!$AF$40="Leve"),CONCATENATE("R5C",'Mapa final'!$T$40),"")</f>
        <v/>
      </c>
      <c r="O40" s="64" t="str">
        <f>IF(AND('Mapa final'!$AD$41="Baja",'Mapa final'!$AF$41="Leve"),CONCATENATE("R5C",'Mapa final'!$T$41),"")</f>
        <v/>
      </c>
      <c r="P40" s="53" t="str">
        <f>IF(AND('Mapa final'!$AD$36="Baja",'Mapa final'!$AF$36="Menor"),CONCATENATE("R5C",'Mapa final'!$T$36),"")</f>
        <v/>
      </c>
      <c r="Q40" s="54" t="str">
        <f>IF(AND('Mapa final'!$AD$37="Baja",'Mapa final'!$AF$37="Menor"),CONCATENATE("R5C",'Mapa final'!$T$37),"")</f>
        <v/>
      </c>
      <c r="R40" s="54" t="str">
        <f>IF(AND('Mapa final'!$AD$38="Baja",'Mapa final'!$AF$38="Menor"),CONCATENATE("R5C",'Mapa final'!$T$38),"")</f>
        <v/>
      </c>
      <c r="S40" s="54" t="str">
        <f>IF(AND('Mapa final'!$AD$39="Baja",'Mapa final'!$AF$39="Menor"),CONCATENATE("R5C",'Mapa final'!$T$39),"")</f>
        <v/>
      </c>
      <c r="T40" s="54" t="str">
        <f>IF(AND('Mapa final'!$AD$40="Baja",'Mapa final'!$AF$40="Menor"),CONCATENATE("R5C",'Mapa final'!$T$40),"")</f>
        <v/>
      </c>
      <c r="U40" s="55" t="str">
        <f>IF(AND('Mapa final'!$AD$41="Baja",'Mapa final'!$AF$41="Menor"),CONCATENATE("R5C",'Mapa final'!$T$41),"")</f>
        <v/>
      </c>
      <c r="V40" s="53" t="str">
        <f>IF(AND('Mapa final'!$AD$36="Baja",'Mapa final'!$AF$36="Moderado"),CONCATENATE("R5C",'Mapa final'!$T$36),"")</f>
        <v/>
      </c>
      <c r="W40" s="54" t="str">
        <f>IF(AND('Mapa final'!$AD$37="Baja",'Mapa final'!$AF$37="Moderado"),CONCATENATE("R5C",'Mapa final'!$T$37),"")</f>
        <v/>
      </c>
      <c r="X40" s="54" t="str">
        <f>IF(AND('Mapa final'!$AD$38="Baja",'Mapa final'!$AF$38="Moderado"),CONCATENATE("R5C",'Mapa final'!$T$38),"")</f>
        <v/>
      </c>
      <c r="Y40" s="54" t="str">
        <f>IF(AND('Mapa final'!$AD$39="Baja",'Mapa final'!$AF$39="Moderado"),CONCATENATE("R5C",'Mapa final'!$T$39),"")</f>
        <v/>
      </c>
      <c r="Z40" s="54" t="str">
        <f>IF(AND('Mapa final'!$AD$40="Baja",'Mapa final'!$AF$40="Moderado"),CONCATENATE("R5C",'Mapa final'!$T$40),"")</f>
        <v/>
      </c>
      <c r="AA40" s="55" t="str">
        <f>IF(AND('Mapa final'!$AD$41="Baja",'Mapa final'!$AF$41="Moderado"),CONCATENATE("R5C",'Mapa final'!$T$41),"")</f>
        <v/>
      </c>
      <c r="AB40" s="38" t="str">
        <f>IF(AND('Mapa final'!$AD$36="Baja",'Mapa final'!$AF$36="Mayor"),CONCATENATE("R5C",'Mapa final'!$T$36),"")</f>
        <v/>
      </c>
      <c r="AC40" s="39" t="str">
        <f>IF(AND('Mapa final'!$AD$37="Baja",'Mapa final'!$AF$37="Mayor"),CONCATENATE("R5C",'Mapa final'!$T$37),"")</f>
        <v>R5C2</v>
      </c>
      <c r="AD40" s="39" t="str">
        <f>IF(AND('Mapa final'!$AD$38="Baja",'Mapa final'!$AF$38="Mayor"),CONCATENATE("R5C",'Mapa final'!$T$38),"")</f>
        <v>R5C3</v>
      </c>
      <c r="AE40" s="39" t="str">
        <f>IF(AND('Mapa final'!$AD$39="Baja",'Mapa final'!$AF$39="Mayor"),CONCATENATE("R5C",'Mapa final'!$T$39),"")</f>
        <v/>
      </c>
      <c r="AF40" s="39" t="str">
        <f>IF(AND('Mapa final'!$AD$40="Baja",'Mapa final'!$AF$40="Mayor"),CONCATENATE("R5C",'Mapa final'!$T$40),"")</f>
        <v/>
      </c>
      <c r="AG40" s="40" t="str">
        <f>IF(AND('Mapa final'!$AD$41="Baja",'Mapa final'!$AF$41="Mayor"),CONCATENATE("R5C",'Mapa final'!$T$41),"")</f>
        <v/>
      </c>
      <c r="AH40" s="41" t="str">
        <f>IF(AND('Mapa final'!$AD$36="Baja",'Mapa final'!$AF$36="Catastrófico"),CONCATENATE("R5C",'Mapa final'!$T$36),"")</f>
        <v/>
      </c>
      <c r="AI40" s="42" t="str">
        <f>IF(AND('Mapa final'!$AD$37="Baja",'Mapa final'!$AF$37="Catastrófico"),CONCATENATE("R5C",'Mapa final'!$T$37),"")</f>
        <v/>
      </c>
      <c r="AJ40" s="42" t="str">
        <f>IF(AND('Mapa final'!$AD$38="Baja",'Mapa final'!$AF$38="Catastrófico"),CONCATENATE("R5C",'Mapa final'!$T$38),"")</f>
        <v/>
      </c>
      <c r="AK40" s="42" t="str">
        <f>IF(AND('Mapa final'!$AD$39="Baja",'Mapa final'!$AF$39="Catastrófico"),CONCATENATE("R5C",'Mapa final'!$T$39),"")</f>
        <v/>
      </c>
      <c r="AL40" s="42" t="str">
        <f>IF(AND('Mapa final'!$AD$40="Baja",'Mapa final'!$AF$40="Catastrófico"),CONCATENATE("R5C",'Mapa final'!$T$40),"")</f>
        <v/>
      </c>
      <c r="AM40" s="43" t="str">
        <f>IF(AND('Mapa final'!$AD$41="Baja",'Mapa final'!$AF$41="Catastrófico"),CONCATENATE("R5C",'Mapa final'!$T$41),"")</f>
        <v/>
      </c>
      <c r="AN40" s="69"/>
      <c r="AO40" s="551"/>
      <c r="AP40" s="552"/>
      <c r="AQ40" s="552"/>
      <c r="AR40" s="552"/>
      <c r="AS40" s="552"/>
      <c r="AT40" s="553"/>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row>
    <row r="41" spans="1:80" ht="15" customHeight="1" x14ac:dyDescent="0.25">
      <c r="A41" s="69"/>
      <c r="B41" s="432"/>
      <c r="C41" s="432"/>
      <c r="D41" s="433"/>
      <c r="E41" s="531"/>
      <c r="F41" s="530"/>
      <c r="G41" s="530"/>
      <c r="H41" s="530"/>
      <c r="I41" s="530"/>
      <c r="J41" s="62" t="str">
        <f>IF(AND('Mapa final'!$AD$42="Baja",'Mapa final'!$AF$42="Leve"),CONCATENATE("R6C",'Mapa final'!$T$42),"")</f>
        <v/>
      </c>
      <c r="K41" s="63" t="str">
        <f>IF(AND('Mapa final'!$AD$43="Baja",'Mapa final'!$AF$43="Leve"),CONCATENATE("R6C",'Mapa final'!$T$43),"")</f>
        <v/>
      </c>
      <c r="L41" s="63" t="str">
        <f>IF(AND('Mapa final'!$AD$44="Baja",'Mapa final'!$AF$44="Leve"),CONCATENATE("R6C",'Mapa final'!$T$44),"")</f>
        <v/>
      </c>
      <c r="M41" s="63" t="str">
        <f>IF(AND('Mapa final'!$AD$45="Baja",'Mapa final'!$AF$45="Leve"),CONCATENATE("R6C",'Mapa final'!$T$45),"")</f>
        <v/>
      </c>
      <c r="N41" s="63" t="str">
        <f>IF(AND('Mapa final'!$AD$46="Baja",'Mapa final'!$AF$46="Leve"),CONCATENATE("R6C",'Mapa final'!$T$46),"")</f>
        <v/>
      </c>
      <c r="O41" s="64" t="str">
        <f>IF(AND('Mapa final'!$AD$47="Baja",'Mapa final'!$AF$47="Leve"),CONCATENATE("R6C",'Mapa final'!$T$47),"")</f>
        <v/>
      </c>
      <c r="P41" s="53" t="str">
        <f>IF(AND('Mapa final'!$AD$42="Baja",'Mapa final'!$AF$42="Menor"),CONCATENATE("R6C",'Mapa final'!$T$42),"")</f>
        <v/>
      </c>
      <c r="Q41" s="54" t="str">
        <f>IF(AND('Mapa final'!$AD$43="Baja",'Mapa final'!$AF$43="Menor"),CONCATENATE("R6C",'Mapa final'!$T$43),"")</f>
        <v/>
      </c>
      <c r="R41" s="54" t="str">
        <f>IF(AND('Mapa final'!$AD$44="Baja",'Mapa final'!$AF$44="Menor"),CONCATENATE("R6C",'Mapa final'!$T$44),"")</f>
        <v/>
      </c>
      <c r="S41" s="54" t="str">
        <f>IF(AND('Mapa final'!$AD$45="Baja",'Mapa final'!$AF$45="Menor"),CONCATENATE("R6C",'Mapa final'!$T$45),"")</f>
        <v/>
      </c>
      <c r="T41" s="54" t="str">
        <f>IF(AND('Mapa final'!$AD$46="Baja",'Mapa final'!$AF$46="Menor"),CONCATENATE("R6C",'Mapa final'!$T$46),"")</f>
        <v/>
      </c>
      <c r="U41" s="55" t="str">
        <f>IF(AND('Mapa final'!$AD$47="Baja",'Mapa final'!$AF$47="Menor"),CONCATENATE("R6C",'Mapa final'!$T$47),"")</f>
        <v/>
      </c>
      <c r="V41" s="53" t="str">
        <f>IF(AND('Mapa final'!$AD$42="Baja",'Mapa final'!$AF$42="Moderado"),CONCATENATE("R6C",'Mapa final'!$T$42),"")</f>
        <v/>
      </c>
      <c r="W41" s="54" t="str">
        <f>IF(AND('Mapa final'!$AD$43="Baja",'Mapa final'!$AF$43="Moderado"),CONCATENATE("R6C",'Mapa final'!$T$43),"")</f>
        <v/>
      </c>
      <c r="X41" s="54" t="str">
        <f>IF(AND('Mapa final'!$AD$44="Baja",'Mapa final'!$AF$44="Moderado"),CONCATENATE("R6C",'Mapa final'!$T$44),"")</f>
        <v/>
      </c>
      <c r="Y41" s="54" t="str">
        <f>IF(AND('Mapa final'!$AD$45="Baja",'Mapa final'!$AF$45="Moderado"),CONCATENATE("R6C",'Mapa final'!$T$45),"")</f>
        <v/>
      </c>
      <c r="Z41" s="54" t="str">
        <f>IF(AND('Mapa final'!$AD$46="Baja",'Mapa final'!$AF$46="Moderado"),CONCATENATE("R6C",'Mapa final'!$T$46),"")</f>
        <v/>
      </c>
      <c r="AA41" s="55" t="str">
        <f>IF(AND('Mapa final'!$AD$47="Baja",'Mapa final'!$AF$47="Moderado"),CONCATENATE("R6C",'Mapa final'!$T$47),"")</f>
        <v/>
      </c>
      <c r="AB41" s="38" t="str">
        <f>IF(AND('Mapa final'!$AD$42="Baja",'Mapa final'!$AF$42="Mayor"),CONCATENATE("R6C",'Mapa final'!$T$42),"")</f>
        <v>R6C1</v>
      </c>
      <c r="AC41" s="39" t="str">
        <f>IF(AND('Mapa final'!$AD$43="Baja",'Mapa final'!$AF$43="Mayor"),CONCATENATE("R6C",'Mapa final'!$T$43),"")</f>
        <v>R6C2</v>
      </c>
      <c r="AD41" s="39" t="str">
        <f>IF(AND('Mapa final'!$AD$44="Baja",'Mapa final'!$AF$44="Mayor"),CONCATENATE("R6C",'Mapa final'!$T$44),"")</f>
        <v/>
      </c>
      <c r="AE41" s="39" t="str">
        <f>IF(AND('Mapa final'!$AD$45="Baja",'Mapa final'!$AF$45="Mayor"),CONCATENATE("R6C",'Mapa final'!$T$45),"")</f>
        <v/>
      </c>
      <c r="AF41" s="39" t="str">
        <f>IF(AND('Mapa final'!$AD$46="Baja",'Mapa final'!$AF$46="Mayor"),CONCATENATE("R6C",'Mapa final'!$T$46),"")</f>
        <v/>
      </c>
      <c r="AG41" s="40" t="str">
        <f>IF(AND('Mapa final'!$AD$47="Baja",'Mapa final'!$AF$47="Mayor"),CONCATENATE("R6C",'Mapa final'!$T$47),"")</f>
        <v/>
      </c>
      <c r="AH41" s="41" t="str">
        <f>IF(AND('Mapa final'!$AD$42="Baja",'Mapa final'!$AF$42="Catastrófico"),CONCATENATE("R6C",'Mapa final'!$T$42),"")</f>
        <v/>
      </c>
      <c r="AI41" s="42" t="str">
        <f>IF(AND('Mapa final'!$AD$43="Baja",'Mapa final'!$AF$43="Catastrófico"),CONCATENATE("R6C",'Mapa final'!$T$43),"")</f>
        <v/>
      </c>
      <c r="AJ41" s="42" t="str">
        <f>IF(AND('Mapa final'!$AD$44="Baja",'Mapa final'!$AF$44="Catastrófico"),CONCATENATE("R6C",'Mapa final'!$T$44),"")</f>
        <v/>
      </c>
      <c r="AK41" s="42" t="str">
        <f>IF(AND('Mapa final'!$AD$45="Baja",'Mapa final'!$AF$45="Catastrófico"),CONCATENATE("R6C",'Mapa final'!$T$45),"")</f>
        <v/>
      </c>
      <c r="AL41" s="42" t="str">
        <f>IF(AND('Mapa final'!$AD$46="Baja",'Mapa final'!$AF$46="Catastrófico"),CONCATENATE("R6C",'Mapa final'!$T$46),"")</f>
        <v/>
      </c>
      <c r="AM41" s="43" t="str">
        <f>IF(AND('Mapa final'!$AD$47="Baja",'Mapa final'!$AF$47="Catastrófico"),CONCATENATE("R6C",'Mapa final'!$T$47),"")</f>
        <v/>
      </c>
      <c r="AN41" s="69"/>
      <c r="AO41" s="551"/>
      <c r="AP41" s="552"/>
      <c r="AQ41" s="552"/>
      <c r="AR41" s="552"/>
      <c r="AS41" s="552"/>
      <c r="AT41" s="553"/>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row>
    <row r="42" spans="1:80" ht="15" customHeight="1" x14ac:dyDescent="0.25">
      <c r="A42" s="69"/>
      <c r="B42" s="432"/>
      <c r="C42" s="432"/>
      <c r="D42" s="433"/>
      <c r="E42" s="531"/>
      <c r="F42" s="530"/>
      <c r="G42" s="530"/>
      <c r="H42" s="530"/>
      <c r="I42" s="530"/>
      <c r="J42" s="62" t="str">
        <f>IF(AND('Mapa final'!$AD$48="Baja",'Mapa final'!$AF$48="Leve"),CONCATENATE("R7C",'Mapa final'!$T$48),"")</f>
        <v/>
      </c>
      <c r="K42" s="63" t="str">
        <f>IF(AND('Mapa final'!$AD$49="Baja",'Mapa final'!$AF$49="Leve"),CONCATENATE("R7C",'Mapa final'!$T$49),"")</f>
        <v/>
      </c>
      <c r="L42" s="63" t="str">
        <f>IF(AND('Mapa final'!$AD$50="Baja",'Mapa final'!$AF$50="Leve"),CONCATENATE("R7C",'Mapa final'!$T$50),"")</f>
        <v/>
      </c>
      <c r="M42" s="63" t="str">
        <f>IF(AND('Mapa final'!$AD$51="Baja",'Mapa final'!$AF$51="Leve"),CONCATENATE("R7C",'Mapa final'!$T$51),"")</f>
        <v/>
      </c>
      <c r="N42" s="63" t="str">
        <f>IF(AND('Mapa final'!$AD$52="Baja",'Mapa final'!$AF$52="Leve"),CONCATENATE("R7C",'Mapa final'!$T$52),"")</f>
        <v/>
      </c>
      <c r="O42" s="64" t="str">
        <f>IF(AND('Mapa final'!$AD$53="Baja",'Mapa final'!$AF$53="Leve"),CONCATENATE("R7C",'Mapa final'!$T$53),"")</f>
        <v/>
      </c>
      <c r="P42" s="53" t="str">
        <f>IF(AND('Mapa final'!$AD$48="Baja",'Mapa final'!$AF$48="Menor"),CONCATENATE("R7C",'Mapa final'!$T$48),"")</f>
        <v/>
      </c>
      <c r="Q42" s="54" t="str">
        <f>IF(AND('Mapa final'!$AD$49="Baja",'Mapa final'!$AF$49="Menor"),CONCATENATE("R7C",'Mapa final'!$T$49),"")</f>
        <v/>
      </c>
      <c r="R42" s="54" t="str">
        <f>IF(AND('Mapa final'!$AD$50="Baja",'Mapa final'!$AF$50="Menor"),CONCATENATE("R7C",'Mapa final'!$T$50),"")</f>
        <v/>
      </c>
      <c r="S42" s="54" t="str">
        <f>IF(AND('Mapa final'!$AD$51="Baja",'Mapa final'!$AF$51="Menor"),CONCATENATE("R7C",'Mapa final'!$T$51),"")</f>
        <v/>
      </c>
      <c r="T42" s="54" t="str">
        <f>IF(AND('Mapa final'!$AD$52="Baja",'Mapa final'!$AF$52="Menor"),CONCATENATE("R7C",'Mapa final'!$T$52),"")</f>
        <v/>
      </c>
      <c r="U42" s="55" t="str">
        <f>IF(AND('Mapa final'!$AD$53="Baja",'Mapa final'!$AF$53="Menor"),CONCATENATE("R7C",'Mapa final'!$T$53),"")</f>
        <v/>
      </c>
      <c r="V42" s="53" t="str">
        <f>IF(AND('Mapa final'!$AD$48="Baja",'Mapa final'!$AF$48="Moderado"),CONCATENATE("R7C",'Mapa final'!$T$48),"")</f>
        <v/>
      </c>
      <c r="W42" s="54" t="str">
        <f>IF(AND('Mapa final'!$AD$49="Baja",'Mapa final'!$AF$49="Moderado"),CONCATENATE("R7C",'Mapa final'!$T$49),"")</f>
        <v/>
      </c>
      <c r="X42" s="54" t="str">
        <f>IF(AND('Mapa final'!$AD$50="Baja",'Mapa final'!$AF$50="Moderado"),CONCATENATE("R7C",'Mapa final'!$T$50),"")</f>
        <v/>
      </c>
      <c r="Y42" s="54" t="str">
        <f>IF(AND('Mapa final'!$AD$51="Baja",'Mapa final'!$AF$51="Moderado"),CONCATENATE("R7C",'Mapa final'!$T$51),"")</f>
        <v/>
      </c>
      <c r="Z42" s="54" t="str">
        <f>IF(AND('Mapa final'!$AD$52="Baja",'Mapa final'!$AF$52="Moderado"),CONCATENATE("R7C",'Mapa final'!$T$52),"")</f>
        <v/>
      </c>
      <c r="AA42" s="55" t="str">
        <f>IF(AND('Mapa final'!$AD$53="Baja",'Mapa final'!$AF$53="Moderado"),CONCATENATE("R7C",'Mapa final'!$T$53),"")</f>
        <v/>
      </c>
      <c r="AB42" s="38" t="str">
        <f>IF(AND('Mapa final'!$AD$48="Baja",'Mapa final'!$AF$48="Mayor"),CONCATENATE("R7C",'Mapa final'!$T$48),"")</f>
        <v/>
      </c>
      <c r="AC42" s="39" t="str">
        <f>IF(AND('Mapa final'!$AD$49="Baja",'Mapa final'!$AF$49="Mayor"),CONCATENATE("R7C",'Mapa final'!$T$49),"")</f>
        <v/>
      </c>
      <c r="AD42" s="39" t="str">
        <f>IF(AND('Mapa final'!$AD$50="Baja",'Mapa final'!$AF$50="Mayor"),CONCATENATE("R7C",'Mapa final'!$T$50),"")</f>
        <v/>
      </c>
      <c r="AE42" s="39" t="str">
        <f>IF(AND('Mapa final'!$AD$51="Baja",'Mapa final'!$AF$51="Mayor"),CONCATENATE("R7C",'Mapa final'!$T$51),"")</f>
        <v/>
      </c>
      <c r="AF42" s="39" t="str">
        <f>IF(AND('Mapa final'!$AD$52="Baja",'Mapa final'!$AF$52="Mayor"),CONCATENATE("R7C",'Mapa final'!$T$52),"")</f>
        <v/>
      </c>
      <c r="AG42" s="40" t="str">
        <f>IF(AND('Mapa final'!$AD$53="Baja",'Mapa final'!$AF$53="Mayor"),CONCATENATE("R7C",'Mapa final'!$T$53),"")</f>
        <v/>
      </c>
      <c r="AH42" s="41" t="str">
        <f>IF(AND('Mapa final'!$AD$48="Baja",'Mapa final'!$AF$48="Catastrófico"),CONCATENATE("R7C",'Mapa final'!$T$48),"")</f>
        <v>R7C1</v>
      </c>
      <c r="AI42" s="42" t="str">
        <f>IF(AND('Mapa final'!$AD$49="Baja",'Mapa final'!$AF$49="Catastrófico"),CONCATENATE("R7C",'Mapa final'!$T$49),"")</f>
        <v/>
      </c>
      <c r="AJ42" s="42" t="str">
        <f>IF(AND('Mapa final'!$AD$50="Baja",'Mapa final'!$AF$50="Catastrófico"),CONCATENATE("R7C",'Mapa final'!$T$50),"")</f>
        <v/>
      </c>
      <c r="AK42" s="42" t="str">
        <f>IF(AND('Mapa final'!$AD$51="Baja",'Mapa final'!$AF$51="Catastrófico"),CONCATENATE("R7C",'Mapa final'!$T$51),"")</f>
        <v/>
      </c>
      <c r="AL42" s="42" t="str">
        <f>IF(AND('Mapa final'!$AD$52="Baja",'Mapa final'!$AF$52="Catastrófico"),CONCATENATE("R7C",'Mapa final'!$T$52),"")</f>
        <v/>
      </c>
      <c r="AM42" s="43" t="str">
        <f>IF(AND('Mapa final'!$AD$53="Baja",'Mapa final'!$AF$53="Catastrófico"),CONCATENATE("R7C",'Mapa final'!$T$53),"")</f>
        <v/>
      </c>
      <c r="AN42" s="69"/>
      <c r="AO42" s="551"/>
      <c r="AP42" s="552"/>
      <c r="AQ42" s="552"/>
      <c r="AR42" s="552"/>
      <c r="AS42" s="552"/>
      <c r="AT42" s="553"/>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row>
    <row r="43" spans="1:80" ht="15" customHeight="1" x14ac:dyDescent="0.25">
      <c r="A43" s="69"/>
      <c r="B43" s="432"/>
      <c r="C43" s="432"/>
      <c r="D43" s="433"/>
      <c r="E43" s="531"/>
      <c r="F43" s="530"/>
      <c r="G43" s="530"/>
      <c r="H43" s="530"/>
      <c r="I43" s="530"/>
      <c r="J43" s="62" t="str">
        <f>IF(AND('Mapa final'!$AD$54="Baja",'Mapa final'!$AF$54="Leve"),CONCATENATE("R8C",'Mapa final'!$T$54),"")</f>
        <v/>
      </c>
      <c r="K43" s="63" t="str">
        <f>IF(AND('Mapa final'!$AD$55="Baja",'Mapa final'!$AF$55="Leve"),CONCATENATE("R8C",'Mapa final'!$T$55),"")</f>
        <v/>
      </c>
      <c r="L43" s="63" t="str">
        <f>IF(AND('Mapa final'!$AD$56="Baja",'Mapa final'!$AF$56="Leve"),CONCATENATE("R8C",'Mapa final'!$T$56),"")</f>
        <v/>
      </c>
      <c r="M43" s="63" t="str">
        <f>IF(AND('Mapa final'!$AD$57="Baja",'Mapa final'!$AF$57="Leve"),CONCATENATE("R8C",'Mapa final'!$T$57),"")</f>
        <v/>
      </c>
      <c r="N43" s="63" t="str">
        <f>IF(AND('Mapa final'!$AD$58="Baja",'Mapa final'!$AF$58="Leve"),CONCATENATE("R8C",'Mapa final'!$T$58),"")</f>
        <v/>
      </c>
      <c r="O43" s="64" t="str">
        <f>IF(AND('Mapa final'!$AD$59="Baja",'Mapa final'!$AF$59="Leve"),CONCATENATE("R8C",'Mapa final'!$T$59),"")</f>
        <v/>
      </c>
      <c r="P43" s="53" t="str">
        <f>IF(AND('Mapa final'!$AD$54="Baja",'Mapa final'!$AF$54="Menor"),CONCATENATE("R8C",'Mapa final'!$T$54),"")</f>
        <v/>
      </c>
      <c r="Q43" s="54" t="str">
        <f>IF(AND('Mapa final'!$AD$55="Baja",'Mapa final'!$AF$55="Menor"),CONCATENATE("R8C",'Mapa final'!$T$55),"")</f>
        <v/>
      </c>
      <c r="R43" s="54" t="str">
        <f>IF(AND('Mapa final'!$AD$56="Baja",'Mapa final'!$AF$56="Menor"),CONCATENATE("R8C",'Mapa final'!$T$56),"")</f>
        <v/>
      </c>
      <c r="S43" s="54" t="str">
        <f>IF(AND('Mapa final'!$AD$57="Baja",'Mapa final'!$AF$57="Menor"),CONCATENATE("R8C",'Mapa final'!$T$57),"")</f>
        <v/>
      </c>
      <c r="T43" s="54" t="str">
        <f>IF(AND('Mapa final'!$AD$58="Baja",'Mapa final'!$AF$58="Menor"),CONCATENATE("R8C",'Mapa final'!$T$58),"")</f>
        <v/>
      </c>
      <c r="U43" s="55" t="str">
        <f>IF(AND('Mapa final'!$AD$59="Baja",'Mapa final'!$AF$59="Menor"),CONCATENATE("R8C",'Mapa final'!$T$59),"")</f>
        <v/>
      </c>
      <c r="V43" s="53" t="str">
        <f>IF(AND('Mapa final'!$AD$54="Baja",'Mapa final'!$AF$54="Moderado"),CONCATENATE("R8C",'Mapa final'!$T$54),"")</f>
        <v>R8C1</v>
      </c>
      <c r="W43" s="54" t="str">
        <f>IF(AND('Mapa final'!$AD$55="Baja",'Mapa final'!$AF$55="Moderado"),CONCATENATE("R8C",'Mapa final'!$T$55),"")</f>
        <v>R8C2</v>
      </c>
      <c r="X43" s="54" t="str">
        <f>IF(AND('Mapa final'!$AD$56="Baja",'Mapa final'!$AF$56="Moderado"),CONCATENATE("R8C",'Mapa final'!$T$56),"")</f>
        <v/>
      </c>
      <c r="Y43" s="54" t="str">
        <f>IF(AND('Mapa final'!$AD$57="Baja",'Mapa final'!$AF$57="Moderado"),CONCATENATE("R8C",'Mapa final'!$T$57),"")</f>
        <v/>
      </c>
      <c r="Z43" s="54" t="str">
        <f>IF(AND('Mapa final'!$AD$58="Baja",'Mapa final'!$AF$58="Moderado"),CONCATENATE("R8C",'Mapa final'!$T$58),"")</f>
        <v/>
      </c>
      <c r="AA43" s="55" t="str">
        <f>IF(AND('Mapa final'!$AD$59="Baja",'Mapa final'!$AF$59="Moderado"),CONCATENATE("R8C",'Mapa final'!$T$59),"")</f>
        <v/>
      </c>
      <c r="AB43" s="38" t="str">
        <f>IF(AND('Mapa final'!$AD$54="Baja",'Mapa final'!$AF$54="Mayor"),CONCATENATE("R8C",'Mapa final'!$T$54),"")</f>
        <v/>
      </c>
      <c r="AC43" s="39" t="str">
        <f>IF(AND('Mapa final'!$AD$55="Baja",'Mapa final'!$AF$55="Mayor"),CONCATENATE("R8C",'Mapa final'!$T$55),"")</f>
        <v/>
      </c>
      <c r="AD43" s="39" t="str">
        <f>IF(AND('Mapa final'!$AD$56="Baja",'Mapa final'!$AF$56="Mayor"),CONCATENATE("R8C",'Mapa final'!$T$56),"")</f>
        <v/>
      </c>
      <c r="AE43" s="39" t="str">
        <f>IF(AND('Mapa final'!$AD$57="Baja",'Mapa final'!$AF$57="Mayor"),CONCATENATE("R8C",'Mapa final'!$T$57),"")</f>
        <v/>
      </c>
      <c r="AF43" s="39" t="str">
        <f>IF(AND('Mapa final'!$AD$58="Baja",'Mapa final'!$AF$58="Mayor"),CONCATENATE("R8C",'Mapa final'!$T$58),"")</f>
        <v/>
      </c>
      <c r="AG43" s="40" t="str">
        <f>IF(AND('Mapa final'!$AD$59="Baja",'Mapa final'!$AF$59="Mayor"),CONCATENATE("R8C",'Mapa final'!$T$59),"")</f>
        <v/>
      </c>
      <c r="AH43" s="41" t="str">
        <f>IF(AND('Mapa final'!$AD$54="Baja",'Mapa final'!$AF$54="Catastrófico"),CONCATENATE("R8C",'Mapa final'!$T$54),"")</f>
        <v/>
      </c>
      <c r="AI43" s="42" t="str">
        <f>IF(AND('Mapa final'!$AD$55="Baja",'Mapa final'!$AF$55="Catastrófico"),CONCATENATE("R8C",'Mapa final'!$T$55),"")</f>
        <v/>
      </c>
      <c r="AJ43" s="42" t="str">
        <f>IF(AND('Mapa final'!$AD$56="Baja",'Mapa final'!$AF$56="Catastrófico"),CONCATENATE("R8C",'Mapa final'!$T$56),"")</f>
        <v/>
      </c>
      <c r="AK43" s="42" t="str">
        <f>IF(AND('Mapa final'!$AD$57="Baja",'Mapa final'!$AF$57="Catastrófico"),CONCATENATE("R8C",'Mapa final'!$T$57),"")</f>
        <v/>
      </c>
      <c r="AL43" s="42" t="str">
        <f>IF(AND('Mapa final'!$AD$58="Baja",'Mapa final'!$AF$58="Catastrófico"),CONCATENATE("R8C",'Mapa final'!$T$58),"")</f>
        <v/>
      </c>
      <c r="AM43" s="43" t="str">
        <f>IF(AND('Mapa final'!$AD$59="Baja",'Mapa final'!$AF$59="Catastrófico"),CONCATENATE("R8C",'Mapa final'!$T$59),"")</f>
        <v/>
      </c>
      <c r="AN43" s="69"/>
      <c r="AO43" s="551"/>
      <c r="AP43" s="552"/>
      <c r="AQ43" s="552"/>
      <c r="AR43" s="552"/>
      <c r="AS43" s="552"/>
      <c r="AT43" s="553"/>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row>
    <row r="44" spans="1:80" ht="15" customHeight="1" x14ac:dyDescent="0.25">
      <c r="A44" s="69"/>
      <c r="B44" s="432"/>
      <c r="C44" s="432"/>
      <c r="D44" s="433"/>
      <c r="E44" s="531"/>
      <c r="F44" s="530"/>
      <c r="G44" s="530"/>
      <c r="H44" s="530"/>
      <c r="I44" s="530"/>
      <c r="J44" s="62" t="str">
        <f>IF(AND('Mapa final'!$AD$60="Baja",'Mapa final'!$AF$60="Leve"),CONCATENATE("R9C",'Mapa final'!$T$60),"")</f>
        <v/>
      </c>
      <c r="K44" s="63" t="str">
        <f>IF(AND('Mapa final'!$AD$61="Baja",'Mapa final'!$AF$61="Leve"),CONCATENATE("R9C",'Mapa final'!$T$61),"")</f>
        <v/>
      </c>
      <c r="L44" s="63" t="str">
        <f>IF(AND('Mapa final'!$AD$62="Baja",'Mapa final'!$AF$62="Leve"),CONCATENATE("R9C",'Mapa final'!$T$62),"")</f>
        <v/>
      </c>
      <c r="M44" s="63" t="str">
        <f>IF(AND('Mapa final'!$AD$63="Baja",'Mapa final'!$AF$63="Leve"),CONCATENATE("R9C",'Mapa final'!$T$63),"")</f>
        <v/>
      </c>
      <c r="N44" s="63" t="str">
        <f>IF(AND('Mapa final'!$AD$64="Baja",'Mapa final'!$AF$64="Leve"),CONCATENATE("R9C",'Mapa final'!$T$64),"")</f>
        <v/>
      </c>
      <c r="O44" s="64" t="str">
        <f>IF(AND('Mapa final'!$AD$65="Baja",'Mapa final'!$AF$65="Leve"),CONCATENATE("R9C",'Mapa final'!$T$65),"")</f>
        <v/>
      </c>
      <c r="P44" s="53" t="str">
        <f>IF(AND('Mapa final'!$AD$60="Baja",'Mapa final'!$AF$60="Menor"),CONCATENATE("R9C",'Mapa final'!$T$60),"")</f>
        <v/>
      </c>
      <c r="Q44" s="54" t="str">
        <f>IF(AND('Mapa final'!$AD$61="Baja",'Mapa final'!$AF$61="Menor"),CONCATENATE("R9C",'Mapa final'!$T$61),"")</f>
        <v/>
      </c>
      <c r="R44" s="54" t="str">
        <f>IF(AND('Mapa final'!$AD$62="Baja",'Mapa final'!$AF$62="Menor"),CONCATENATE("R9C",'Mapa final'!$T$62),"")</f>
        <v/>
      </c>
      <c r="S44" s="54" t="str">
        <f>IF(AND('Mapa final'!$AD$63="Baja",'Mapa final'!$AF$63="Menor"),CONCATENATE("R9C",'Mapa final'!$T$63),"")</f>
        <v/>
      </c>
      <c r="T44" s="54" t="str">
        <f>IF(AND('Mapa final'!$AD$64="Baja",'Mapa final'!$AF$64="Menor"),CONCATENATE("R9C",'Mapa final'!$T$64),"")</f>
        <v/>
      </c>
      <c r="U44" s="55" t="str">
        <f>IF(AND('Mapa final'!$AD$65="Baja",'Mapa final'!$AF$65="Menor"),CONCATENATE("R9C",'Mapa final'!$T$65),"")</f>
        <v/>
      </c>
      <c r="V44" s="53" t="str">
        <f>IF(AND('Mapa final'!$AD$60="Baja",'Mapa final'!$AF$60="Moderado"),CONCATENATE("R9C",'Mapa final'!$T$60),"")</f>
        <v/>
      </c>
      <c r="W44" s="54" t="str">
        <f>IF(AND('Mapa final'!$AD$61="Baja",'Mapa final'!$AF$61="Moderado"),CONCATENATE("R9C",'Mapa final'!$T$61),"")</f>
        <v/>
      </c>
      <c r="X44" s="54" t="str">
        <f>IF(AND('Mapa final'!$AD$62="Baja",'Mapa final'!$AF$62="Moderado"),CONCATENATE("R9C",'Mapa final'!$T$62),"")</f>
        <v/>
      </c>
      <c r="Y44" s="54" t="str">
        <f>IF(AND('Mapa final'!$AD$63="Baja",'Mapa final'!$AF$63="Moderado"),CONCATENATE("R9C",'Mapa final'!$T$63),"")</f>
        <v/>
      </c>
      <c r="Z44" s="54" t="str">
        <f>IF(AND('Mapa final'!$AD$64="Baja",'Mapa final'!$AF$64="Moderado"),CONCATENATE("R9C",'Mapa final'!$T$64),"")</f>
        <v/>
      </c>
      <c r="AA44" s="55" t="str">
        <f>IF(AND('Mapa final'!$AD$65="Baja",'Mapa final'!$AF$65="Moderado"),CONCATENATE("R9C",'Mapa final'!$T$65),"")</f>
        <v/>
      </c>
      <c r="AB44" s="38" t="str">
        <f>IF(AND('Mapa final'!$AD$60="Baja",'Mapa final'!$AF$60="Mayor"),CONCATENATE("R9C",'Mapa final'!$T$60),"")</f>
        <v/>
      </c>
      <c r="AC44" s="39" t="str">
        <f>IF(AND('Mapa final'!$AD$61="Baja",'Mapa final'!$AF$61="Mayor"),CONCATENATE("R9C",'Mapa final'!$T$61),"")</f>
        <v/>
      </c>
      <c r="AD44" s="39" t="str">
        <f>IF(AND('Mapa final'!$AD$62="Baja",'Mapa final'!$AF$62="Mayor"),CONCATENATE("R9C",'Mapa final'!$T$62),"")</f>
        <v/>
      </c>
      <c r="AE44" s="39" t="str">
        <f>IF(AND('Mapa final'!$AD$63="Baja",'Mapa final'!$AF$63="Mayor"),CONCATENATE("R9C",'Mapa final'!$T$63),"")</f>
        <v/>
      </c>
      <c r="AF44" s="39" t="str">
        <f>IF(AND('Mapa final'!$AD$64="Baja",'Mapa final'!$AF$64="Mayor"),CONCATENATE("R9C",'Mapa final'!$T$64),"")</f>
        <v/>
      </c>
      <c r="AG44" s="40" t="str">
        <f>IF(AND('Mapa final'!$AD$65="Baja",'Mapa final'!$AF$65="Mayor"),CONCATENATE("R9C",'Mapa final'!$T$65),"")</f>
        <v/>
      </c>
      <c r="AH44" s="41" t="str">
        <f>IF(AND('Mapa final'!$AD$60="Baja",'Mapa final'!$AF$60="Catastrófico"),CONCATENATE("R9C",'Mapa final'!$T$60),"")</f>
        <v/>
      </c>
      <c r="AI44" s="42" t="str">
        <f>IF(AND('Mapa final'!$AD$61="Baja",'Mapa final'!$AF$61="Catastrófico"),CONCATENATE("R9C",'Mapa final'!$T$61),"")</f>
        <v/>
      </c>
      <c r="AJ44" s="42" t="str">
        <f>IF(AND('Mapa final'!$AD$62="Baja",'Mapa final'!$AF$62="Catastrófico"),CONCATENATE("R9C",'Mapa final'!$T$62),"")</f>
        <v/>
      </c>
      <c r="AK44" s="42" t="str">
        <f>IF(AND('Mapa final'!$AD$63="Baja",'Mapa final'!$AF$63="Catastrófico"),CONCATENATE("R9C",'Mapa final'!$T$63),"")</f>
        <v/>
      </c>
      <c r="AL44" s="42" t="str">
        <f>IF(AND('Mapa final'!$AD$64="Baja",'Mapa final'!$AF$64="Catastrófico"),CONCATENATE("R9C",'Mapa final'!$T$64),"")</f>
        <v/>
      </c>
      <c r="AM44" s="43" t="str">
        <f>IF(AND('Mapa final'!$AD$65="Baja",'Mapa final'!$AF$65="Catastrófico"),CONCATENATE("R9C",'Mapa final'!$T$65),"")</f>
        <v/>
      </c>
      <c r="AN44" s="69"/>
      <c r="AO44" s="551"/>
      <c r="AP44" s="552"/>
      <c r="AQ44" s="552"/>
      <c r="AR44" s="552"/>
      <c r="AS44" s="552"/>
      <c r="AT44" s="553"/>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row>
    <row r="45" spans="1:80" ht="15.75" customHeight="1" thickBot="1" x14ac:dyDescent="0.3">
      <c r="A45" s="69"/>
      <c r="B45" s="432"/>
      <c r="C45" s="432"/>
      <c r="D45" s="433"/>
      <c r="E45" s="532"/>
      <c r="F45" s="533"/>
      <c r="G45" s="533"/>
      <c r="H45" s="533"/>
      <c r="I45" s="533"/>
      <c r="J45" s="65" t="str">
        <f>IF(AND('Mapa final'!$AD$66="Baja",'Mapa final'!$AF$66="Leve"),CONCATENATE("R10C",'Mapa final'!$T$66),"")</f>
        <v/>
      </c>
      <c r="K45" s="66" t="str">
        <f>IF(AND('Mapa final'!$AD$67="Baja",'Mapa final'!$AF$67="Leve"),CONCATENATE("R10C",'Mapa final'!$T$67),"")</f>
        <v/>
      </c>
      <c r="L45" s="66" t="str">
        <f>IF(AND('Mapa final'!$AD$68="Baja",'Mapa final'!$AF$68="Leve"),CONCATENATE("R10C",'Mapa final'!$T$68),"")</f>
        <v/>
      </c>
      <c r="M45" s="66" t="str">
        <f>IF(AND('Mapa final'!$AD$69="Baja",'Mapa final'!$AF$69="Leve"),CONCATENATE("R10C",'Mapa final'!$T$69),"")</f>
        <v/>
      </c>
      <c r="N45" s="66" t="str">
        <f>IF(AND('Mapa final'!$AD$70="Baja",'Mapa final'!$AF$70="Leve"),CONCATENATE("R10C",'Mapa final'!$T$70),"")</f>
        <v/>
      </c>
      <c r="O45" s="67" t="str">
        <f>IF(AND('Mapa final'!$AD$71="Baja",'Mapa final'!$AF$71="Leve"),CONCATENATE("R10C",'Mapa final'!$T$71),"")</f>
        <v/>
      </c>
      <c r="P45" s="53" t="str">
        <f>IF(AND('Mapa final'!$AD$66="Baja",'Mapa final'!$AF$66="Menor"),CONCATENATE("R10C",'Mapa final'!$T$66),"")</f>
        <v/>
      </c>
      <c r="Q45" s="54" t="str">
        <f>IF(AND('Mapa final'!$AD$67="Baja",'Mapa final'!$AF$67="Menor"),CONCATENATE("R10C",'Mapa final'!$T$67),"")</f>
        <v/>
      </c>
      <c r="R45" s="54" t="str">
        <f>IF(AND('Mapa final'!$AD$68="Baja",'Mapa final'!$AF$68="Menor"),CONCATENATE("R10C",'Mapa final'!$T$68),"")</f>
        <v/>
      </c>
      <c r="S45" s="54" t="str">
        <f>IF(AND('Mapa final'!$AD$69="Baja",'Mapa final'!$AF$69="Menor"),CONCATENATE("R10C",'Mapa final'!$T$69),"")</f>
        <v/>
      </c>
      <c r="T45" s="54" t="str">
        <f>IF(AND('Mapa final'!$AD$70="Baja",'Mapa final'!$AF$70="Menor"),CONCATENATE("R10C",'Mapa final'!$T$70),"")</f>
        <v/>
      </c>
      <c r="U45" s="55" t="str">
        <f>IF(AND('Mapa final'!$AD$71="Baja",'Mapa final'!$AF$71="Menor"),CONCATENATE("R10C",'Mapa final'!$T$71),"")</f>
        <v/>
      </c>
      <c r="V45" s="56" t="str">
        <f>IF(AND('Mapa final'!$AD$66="Baja",'Mapa final'!$AF$66="Moderado"),CONCATENATE("R10C",'Mapa final'!$T$66),"")</f>
        <v/>
      </c>
      <c r="W45" s="57" t="str">
        <f>IF(AND('Mapa final'!$AD$67="Baja",'Mapa final'!$AF$67="Moderado"),CONCATENATE("R10C",'Mapa final'!$T$67),"")</f>
        <v/>
      </c>
      <c r="X45" s="57" t="str">
        <f>IF(AND('Mapa final'!$AD$68="Baja",'Mapa final'!$AF$68="Moderado"),CONCATENATE("R10C",'Mapa final'!$T$68),"")</f>
        <v/>
      </c>
      <c r="Y45" s="57" t="str">
        <f>IF(AND('Mapa final'!$AD$69="Baja",'Mapa final'!$AF$69="Moderado"),CONCATENATE("R10C",'Mapa final'!$T$69),"")</f>
        <v/>
      </c>
      <c r="Z45" s="57" t="str">
        <f>IF(AND('Mapa final'!$AD$70="Baja",'Mapa final'!$AF$70="Moderado"),CONCATENATE("R10C",'Mapa final'!$T$70),"")</f>
        <v/>
      </c>
      <c r="AA45" s="58" t="str">
        <f>IF(AND('Mapa final'!$AD$71="Baja",'Mapa final'!$AF$71="Moderado"),CONCATENATE("R10C",'Mapa final'!$T$71),"")</f>
        <v/>
      </c>
      <c r="AB45" s="44" t="str">
        <f>IF(AND('Mapa final'!$AD$66="Baja",'Mapa final'!$AF$66="Mayor"),CONCATENATE("R10C",'Mapa final'!$T$66),"")</f>
        <v/>
      </c>
      <c r="AC45" s="45" t="str">
        <f>IF(AND('Mapa final'!$AD$67="Baja",'Mapa final'!$AF$67="Mayor"),CONCATENATE("R10C",'Mapa final'!$T$67),"")</f>
        <v/>
      </c>
      <c r="AD45" s="45" t="str">
        <f>IF(AND('Mapa final'!$AD$68="Baja",'Mapa final'!$AF$68="Mayor"),CONCATENATE("R10C",'Mapa final'!$T$68),"")</f>
        <v/>
      </c>
      <c r="AE45" s="45" t="str">
        <f>IF(AND('Mapa final'!$AD$69="Baja",'Mapa final'!$AF$69="Mayor"),CONCATENATE("R10C",'Mapa final'!$T$69),"")</f>
        <v/>
      </c>
      <c r="AF45" s="45" t="str">
        <f>IF(AND('Mapa final'!$AD$70="Baja",'Mapa final'!$AF$70="Mayor"),CONCATENATE("R10C",'Mapa final'!$T$70),"")</f>
        <v/>
      </c>
      <c r="AG45" s="46" t="str">
        <f>IF(AND('Mapa final'!$AD$71="Baja",'Mapa final'!$AF$71="Mayor"),CONCATENATE("R10C",'Mapa final'!$T$71),"")</f>
        <v/>
      </c>
      <c r="AH45" s="47" t="str">
        <f>IF(AND('Mapa final'!$AD$66="Baja",'Mapa final'!$AF$66="Catastrófico"),CONCATENATE("R10C",'Mapa final'!$T$66),"")</f>
        <v/>
      </c>
      <c r="AI45" s="48" t="str">
        <f>IF(AND('Mapa final'!$AD$67="Baja",'Mapa final'!$AF$67="Catastrófico"),CONCATENATE("R10C",'Mapa final'!$T$67),"")</f>
        <v/>
      </c>
      <c r="AJ45" s="48" t="str">
        <f>IF(AND('Mapa final'!$AD$68="Baja",'Mapa final'!$AF$68="Catastrófico"),CONCATENATE("R10C",'Mapa final'!$T$68),"")</f>
        <v/>
      </c>
      <c r="AK45" s="48" t="str">
        <f>IF(AND('Mapa final'!$AD$69="Baja",'Mapa final'!$AF$69="Catastrófico"),CONCATENATE("R10C",'Mapa final'!$T$69),"")</f>
        <v/>
      </c>
      <c r="AL45" s="48" t="str">
        <f>IF(AND('Mapa final'!$AD$70="Baja",'Mapa final'!$AF$70="Catastrófico"),CONCATENATE("R10C",'Mapa final'!$T$70),"")</f>
        <v/>
      </c>
      <c r="AM45" s="49" t="str">
        <f>IF(AND('Mapa final'!$AD$71="Baja",'Mapa final'!$AF$71="Catastrófico"),CONCATENATE("R10C",'Mapa final'!$T$71),"")</f>
        <v/>
      </c>
      <c r="AN45" s="69"/>
      <c r="AO45" s="554"/>
      <c r="AP45" s="555"/>
      <c r="AQ45" s="555"/>
      <c r="AR45" s="555"/>
      <c r="AS45" s="555"/>
      <c r="AT45" s="556"/>
    </row>
    <row r="46" spans="1:80" ht="46.5" customHeight="1" x14ac:dyDescent="0.35">
      <c r="A46" s="69"/>
      <c r="B46" s="432"/>
      <c r="C46" s="432"/>
      <c r="D46" s="433"/>
      <c r="E46" s="527" t="s">
        <v>113</v>
      </c>
      <c r="F46" s="528"/>
      <c r="G46" s="528"/>
      <c r="H46" s="528"/>
      <c r="I46" s="545"/>
      <c r="J46" s="59" t="str">
        <f>IF(AND('Mapa final'!$AD$12="Muy Baja",'Mapa final'!$AF$12="Leve"),CONCATENATE("R1C",'Mapa final'!$T$12),"")</f>
        <v/>
      </c>
      <c r="K46" s="60" t="str">
        <f>IF(AND('Mapa final'!$AD$13="Muy Baja",'Mapa final'!$AF$13="Leve"),CONCATENATE("R1C",'Mapa final'!$T$13),"")</f>
        <v/>
      </c>
      <c r="L46" s="60" t="str">
        <f>IF(AND('Mapa final'!$AD$14="Muy Baja",'Mapa final'!$AF$14="Leve"),CONCATENATE("R1C",'Mapa final'!$T$14),"")</f>
        <v/>
      </c>
      <c r="M46" s="60" t="str">
        <f>IF(AND('Mapa final'!$AD$15="Muy Baja",'Mapa final'!$AF$15="Leve"),CONCATENATE("R1C",'Mapa final'!$T$15),"")</f>
        <v/>
      </c>
      <c r="N46" s="60" t="str">
        <f>IF(AND('Mapa final'!$AD$16="Muy Baja",'Mapa final'!$AF$16="Leve"),CONCATENATE("R1C",'Mapa final'!$T$16),"")</f>
        <v/>
      </c>
      <c r="O46" s="61" t="str">
        <f>IF(AND('Mapa final'!$AD$17="Muy Baja",'Mapa final'!$AF$17="Leve"),CONCATENATE("R1C",'Mapa final'!$T$17),"")</f>
        <v/>
      </c>
      <c r="P46" s="59" t="str">
        <f>IF(AND('Mapa final'!$AD$12="Muy Baja",'Mapa final'!$AF$12="Menor"),CONCATENATE("R1C",'Mapa final'!$T$12),"")</f>
        <v/>
      </c>
      <c r="Q46" s="60" t="str">
        <f>IF(AND('Mapa final'!$AD$13="Muy Baja",'Mapa final'!$AF$13="Menor"),CONCATENATE("R1C",'Mapa final'!$T$13),"")</f>
        <v/>
      </c>
      <c r="R46" s="60" t="str">
        <f>IF(AND('Mapa final'!$AD$14="Muy Baja",'Mapa final'!$AF$14="Menor"),CONCATENATE("R1C",'Mapa final'!$T$14),"")</f>
        <v/>
      </c>
      <c r="S46" s="60" t="str">
        <f>IF(AND('Mapa final'!$AD$15="Muy Baja",'Mapa final'!$AF$15="Menor"),CONCATENATE("R1C",'Mapa final'!$T$15),"")</f>
        <v/>
      </c>
      <c r="T46" s="60" t="str">
        <f>IF(AND('Mapa final'!$AD$16="Muy Baja",'Mapa final'!$AF$16="Menor"),CONCATENATE("R1C",'Mapa final'!$T$16),"")</f>
        <v/>
      </c>
      <c r="U46" s="61" t="str">
        <f>IF(AND('Mapa final'!$AD$17="Muy Baja",'Mapa final'!$AF$17="Menor"),CONCATENATE("R1C",'Mapa final'!$T$17),"")</f>
        <v/>
      </c>
      <c r="V46" s="50" t="str">
        <f>IF(AND('Mapa final'!$AD$12="Muy Baja",'Mapa final'!$AF$12="Moderado"),CONCATENATE("R1C",'Mapa final'!$T$12),"")</f>
        <v/>
      </c>
      <c r="W46" s="68" t="str">
        <f>IF(AND('Mapa final'!$AD$13="Muy Baja",'Mapa final'!$AF$13="Moderado"),CONCATENATE("R1C",'Mapa final'!$T$13),"")</f>
        <v/>
      </c>
      <c r="X46" s="51" t="str">
        <f>IF(AND('Mapa final'!$AD$14="Muy Baja",'Mapa final'!$AF$14="Moderado"),CONCATENATE("R1C",'Mapa final'!$T$14),"")</f>
        <v>R1C3</v>
      </c>
      <c r="Y46" s="51" t="str">
        <f>IF(AND('Mapa final'!$AD$15="Muy Baja",'Mapa final'!$AF$15="Moderado"),CONCATENATE("R1C",'Mapa final'!$T$15),"")</f>
        <v/>
      </c>
      <c r="Z46" s="51" t="str">
        <f>IF(AND('Mapa final'!$AD$16="Muy Baja",'Mapa final'!$AF$16="Moderado"),CONCATENATE("R1C",'Mapa final'!$T$16),"")</f>
        <v/>
      </c>
      <c r="AA46" s="52" t="str">
        <f>IF(AND('Mapa final'!$AD$17="Muy Baja",'Mapa final'!$AF$17="Moderado"),CONCATENATE("R1C",'Mapa final'!$T$17),"")</f>
        <v/>
      </c>
      <c r="AB46" s="32" t="str">
        <f>IF(AND('Mapa final'!$AD$12="Muy Baja",'Mapa final'!$AF$12="Mayor"),CONCATENATE("R1C",'Mapa final'!$T$12),"")</f>
        <v/>
      </c>
      <c r="AC46" s="33" t="str">
        <f>IF(AND('Mapa final'!$AD$13="Muy Baja",'Mapa final'!$AF$13="Mayor"),CONCATENATE("R1C",'Mapa final'!$T$13),"")</f>
        <v/>
      </c>
      <c r="AD46" s="33" t="str">
        <f>IF(AND('Mapa final'!$AD$14="Muy Baja",'Mapa final'!$AF$14="Mayor"),CONCATENATE("R1C",'Mapa final'!$T$14),"")</f>
        <v/>
      </c>
      <c r="AE46" s="33" t="str">
        <f>IF(AND('Mapa final'!$AD$15="Muy Baja",'Mapa final'!$AF$15="Mayor"),CONCATENATE("R1C",'Mapa final'!$T$15),"")</f>
        <v/>
      </c>
      <c r="AF46" s="33" t="str">
        <f>IF(AND('Mapa final'!$AD$16="Muy Baja",'Mapa final'!$AF$16="Mayor"),CONCATENATE("R1C",'Mapa final'!$T$16),"")</f>
        <v/>
      </c>
      <c r="AG46" s="34" t="str">
        <f>IF(AND('Mapa final'!$AD$17="Muy Baja",'Mapa final'!$AF$17="Mayor"),CONCATENATE("R1C",'Mapa final'!$T$17),"")</f>
        <v/>
      </c>
      <c r="AH46" s="35" t="str">
        <f>IF(AND('Mapa final'!$AD$12="Muy Baja",'Mapa final'!$AF$12="Catastrófico"),CONCATENATE("R1C",'Mapa final'!$T$12),"")</f>
        <v/>
      </c>
      <c r="AI46" s="36" t="str">
        <f>IF(AND('Mapa final'!$AD$13="Muy Baja",'Mapa final'!$AF$13="Catastrófico"),CONCATENATE("R1C",'Mapa final'!$T$13),"")</f>
        <v/>
      </c>
      <c r="AJ46" s="36" t="str">
        <f>IF(AND('Mapa final'!$AD$14="Muy Baja",'Mapa final'!$AF$14="Catastrófico"),CONCATENATE("R1C",'Mapa final'!$T$14),"")</f>
        <v/>
      </c>
      <c r="AK46" s="36" t="str">
        <f>IF(AND('Mapa final'!$AD$15="Muy Baja",'Mapa final'!$AF$15="Catastrófico"),CONCATENATE("R1C",'Mapa final'!$T$15),"")</f>
        <v/>
      </c>
      <c r="AL46" s="36" t="str">
        <f>IF(AND('Mapa final'!$AD$16="Muy Baja",'Mapa final'!$AF$16="Catastrófico"),CONCATENATE("R1C",'Mapa final'!$T$16),"")</f>
        <v/>
      </c>
      <c r="AM46" s="37" t="str">
        <f>IF(AND('Mapa final'!$AD$17="Muy Baja",'Mapa final'!$AF$17="Catastrófico"),CONCATENATE("R1C",'Mapa final'!$T$17),"")</f>
        <v/>
      </c>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ht="46.5" customHeight="1" x14ac:dyDescent="0.25">
      <c r="A47" s="69"/>
      <c r="B47" s="432"/>
      <c r="C47" s="432"/>
      <c r="D47" s="433"/>
      <c r="E47" s="529"/>
      <c r="F47" s="530"/>
      <c r="G47" s="530"/>
      <c r="H47" s="530"/>
      <c r="I47" s="546"/>
      <c r="J47" s="62" t="str">
        <f>IF(AND('Mapa final'!$AD$18="Muy Baja",'Mapa final'!$AF$18="Leve"),CONCATENATE("R2C",'Mapa final'!$T$18),"")</f>
        <v/>
      </c>
      <c r="K47" s="63" t="str">
        <f>IF(AND('Mapa final'!$AD$19="Muy Baja",'Mapa final'!$AF$19="Leve"),CONCATENATE("R2C",'Mapa final'!$T$19),"")</f>
        <v/>
      </c>
      <c r="L47" s="63" t="str">
        <f>IF(AND('Mapa final'!$AD$20="Muy Baja",'Mapa final'!$AF$20="Leve"),CONCATENATE("R2C",'Mapa final'!$T$20),"")</f>
        <v/>
      </c>
      <c r="M47" s="63" t="str">
        <f>IF(AND('Mapa final'!$AD$21="Muy Baja",'Mapa final'!$AF$21="Leve"),CONCATENATE("R2C",'Mapa final'!$T$21),"")</f>
        <v/>
      </c>
      <c r="N47" s="63" t="str">
        <f>IF(AND('Mapa final'!$AD$22="Muy Baja",'Mapa final'!$AF$22="Leve"),CONCATENATE("R2C",'Mapa final'!$T$22),"")</f>
        <v/>
      </c>
      <c r="O47" s="64" t="str">
        <f>IF(AND('Mapa final'!$AD$23="Muy Baja",'Mapa final'!$AF$23="Leve"),CONCATENATE("R2C",'Mapa final'!$T$23),"")</f>
        <v/>
      </c>
      <c r="P47" s="62" t="str">
        <f>IF(AND('Mapa final'!$AD$18="Muy Baja",'Mapa final'!$AF$18="Menor"),CONCATENATE("R2C",'Mapa final'!$T$18),"")</f>
        <v/>
      </c>
      <c r="Q47" s="63" t="str">
        <f>IF(AND('Mapa final'!$AD$19="Muy Baja",'Mapa final'!$AF$19="Menor"),CONCATENATE("R2C",'Mapa final'!$T$19),"")</f>
        <v/>
      </c>
      <c r="R47" s="63" t="str">
        <f>IF(AND('Mapa final'!$AD$20="Muy Baja",'Mapa final'!$AF$20="Menor"),CONCATENATE("R2C",'Mapa final'!$T$20),"")</f>
        <v/>
      </c>
      <c r="S47" s="63" t="str">
        <f>IF(AND('Mapa final'!$AD$21="Muy Baja",'Mapa final'!$AF$21="Menor"),CONCATENATE("R2C",'Mapa final'!$T$21),"")</f>
        <v/>
      </c>
      <c r="T47" s="63" t="str">
        <f>IF(AND('Mapa final'!$AD$22="Muy Baja",'Mapa final'!$AF$22="Menor"),CONCATENATE("R2C",'Mapa final'!$T$22),"")</f>
        <v/>
      </c>
      <c r="U47" s="64" t="str">
        <f>IF(AND('Mapa final'!$AD$23="Muy Baja",'Mapa final'!$AF$23="Menor"),CONCATENATE("R2C",'Mapa final'!$T$23),"")</f>
        <v/>
      </c>
      <c r="V47" s="53" t="str">
        <f>IF(AND('Mapa final'!$AD$18="Muy Baja",'Mapa final'!$AF$18="Moderado"),CONCATENATE("R2C",'Mapa final'!$T$18),"")</f>
        <v/>
      </c>
      <c r="W47" s="54" t="str">
        <f>IF(AND('Mapa final'!$AD$19="Muy Baja",'Mapa final'!$AF$19="Moderado"),CONCATENATE("R2C",'Mapa final'!$T$19),"")</f>
        <v/>
      </c>
      <c r="X47" s="54" t="str">
        <f>IF(AND('Mapa final'!$AD$20="Muy Baja",'Mapa final'!$AF$20="Moderado"),CONCATENATE("R2C",'Mapa final'!$T$20),"")</f>
        <v/>
      </c>
      <c r="Y47" s="54" t="str">
        <f>IF(AND('Mapa final'!$AD$21="Muy Baja",'Mapa final'!$AF$21="Moderado"),CONCATENATE("R2C",'Mapa final'!$T$21),"")</f>
        <v/>
      </c>
      <c r="Z47" s="54" t="str">
        <f>IF(AND('Mapa final'!$AD$22="Muy Baja",'Mapa final'!$AF$22="Moderado"),CONCATENATE("R2C",'Mapa final'!$T$22),"")</f>
        <v/>
      </c>
      <c r="AA47" s="55" t="str">
        <f>IF(AND('Mapa final'!$AD$23="Muy Baja",'Mapa final'!$AF$23="Moderado"),CONCATENATE("R2C",'Mapa final'!$T$23),"")</f>
        <v/>
      </c>
      <c r="AB47" s="38" t="str">
        <f>IF(AND('Mapa final'!$AD$18="Muy Baja",'Mapa final'!$AF$18="Mayor"),CONCATENATE("R2C",'Mapa final'!$T$18),"")</f>
        <v/>
      </c>
      <c r="AC47" s="39" t="str">
        <f>IF(AND('Mapa final'!$AD$19="Muy Baja",'Mapa final'!$AF$19="Mayor"),CONCATENATE("R2C",'Mapa final'!$T$19),"")</f>
        <v/>
      </c>
      <c r="AD47" s="39" t="str">
        <f>IF(AND('Mapa final'!$AD$20="Muy Baja",'Mapa final'!$AF$20="Mayor"),CONCATENATE("R2C",'Mapa final'!$T$20),"")</f>
        <v/>
      </c>
      <c r="AE47" s="39" t="str">
        <f>IF(AND('Mapa final'!$AD$21="Muy Baja",'Mapa final'!$AF$21="Mayor"),CONCATENATE("R2C",'Mapa final'!$T$21),"")</f>
        <v>R2C4</v>
      </c>
      <c r="AF47" s="39" t="str">
        <f>IF(AND('Mapa final'!$AD$22="Muy Baja",'Mapa final'!$AF$22="Mayor"),CONCATENATE("R2C",'Mapa final'!$T$22),"")</f>
        <v/>
      </c>
      <c r="AG47" s="40" t="str">
        <f>IF(AND('Mapa final'!$AD$23="Muy Baja",'Mapa final'!$AF$23="Mayor"),CONCATENATE("R2C",'Mapa final'!$T$23),"")</f>
        <v/>
      </c>
      <c r="AH47" s="41" t="str">
        <f>IF(AND('Mapa final'!$AD$18="Muy Baja",'Mapa final'!$AF$18="Catastrófico"),CONCATENATE("R2C",'Mapa final'!$T$18),"")</f>
        <v/>
      </c>
      <c r="AI47" s="42" t="str">
        <f>IF(AND('Mapa final'!$AD$19="Muy Baja",'Mapa final'!$AF$19="Catastrófico"),CONCATENATE("R2C",'Mapa final'!$T$19),"")</f>
        <v>R2C2</v>
      </c>
      <c r="AJ47" s="42" t="str">
        <f>IF(AND('Mapa final'!$AD$20="Muy Baja",'Mapa final'!$AF$20="Catastrófico"),CONCATENATE("R2C",'Mapa final'!$T$20),"")</f>
        <v>R2C3</v>
      </c>
      <c r="AK47" s="42" t="str">
        <f>IF(AND('Mapa final'!$AD$21="Muy Baja",'Mapa final'!$AF$21="Catastrófico"),CONCATENATE("R2C",'Mapa final'!$T$21),"")</f>
        <v/>
      </c>
      <c r="AL47" s="42" t="str">
        <f>IF(AND('Mapa final'!$AD$22="Muy Baja",'Mapa final'!$AF$22="Catastrófico"),CONCATENATE("R2C",'Mapa final'!$T$22),"")</f>
        <v/>
      </c>
      <c r="AM47" s="43" t="str">
        <f>IF(AND('Mapa final'!$AD$23="Muy Baja",'Mapa final'!$AF$23="Catastrófico"),CONCATENATE("R2C",'Mapa final'!$T$23),"")</f>
        <v/>
      </c>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ht="15" customHeight="1" x14ac:dyDescent="0.25">
      <c r="A48" s="69"/>
      <c r="B48" s="432"/>
      <c r="C48" s="432"/>
      <c r="D48" s="433"/>
      <c r="E48" s="529"/>
      <c r="F48" s="530"/>
      <c r="G48" s="530"/>
      <c r="H48" s="530"/>
      <c r="I48" s="546"/>
      <c r="J48" s="62" t="str">
        <f>IF(AND('Mapa final'!$AD$24="Muy Baja",'Mapa final'!$AF$24="Leve"),CONCATENATE("R3C",'Mapa final'!$T$24),"")</f>
        <v/>
      </c>
      <c r="K48" s="63" t="str">
        <f>IF(AND('Mapa final'!$AD$25="Muy Baja",'Mapa final'!$AF$25="Leve"),CONCATENATE("R3C",'Mapa final'!$T$25),"")</f>
        <v/>
      </c>
      <c r="L48" s="63" t="str">
        <f>IF(AND('Mapa final'!$AD$26="Muy Baja",'Mapa final'!$AF$26="Leve"),CONCATENATE("R3C",'Mapa final'!$T$26),"")</f>
        <v/>
      </c>
      <c r="M48" s="63" t="str">
        <f>IF(AND('Mapa final'!$AD$27="Muy Baja",'Mapa final'!$AF$27="Leve"),CONCATENATE("R3C",'Mapa final'!$T$27),"")</f>
        <v/>
      </c>
      <c r="N48" s="63" t="str">
        <f>IF(AND('Mapa final'!$AD$28="Muy Baja",'Mapa final'!$AF$28="Leve"),CONCATENATE("R3C",'Mapa final'!$T$28),"")</f>
        <v/>
      </c>
      <c r="O48" s="64" t="str">
        <f>IF(AND('Mapa final'!$AD$29="Muy Baja",'Mapa final'!$AF$29="Leve"),CONCATENATE("R3C",'Mapa final'!$T$29),"")</f>
        <v/>
      </c>
      <c r="P48" s="62" t="str">
        <f>IF(AND('Mapa final'!$AD$24="Muy Baja",'Mapa final'!$AF$24="Menor"),CONCATENATE("R3C",'Mapa final'!$T$24),"")</f>
        <v/>
      </c>
      <c r="Q48" s="63" t="str">
        <f>IF(AND('Mapa final'!$AD$25="Muy Baja",'Mapa final'!$AF$25="Menor"),CONCATENATE("R3C",'Mapa final'!$T$25),"")</f>
        <v/>
      </c>
      <c r="R48" s="63" t="str">
        <f>IF(AND('Mapa final'!$AD$26="Muy Baja",'Mapa final'!$AF$26="Menor"),CONCATENATE("R3C",'Mapa final'!$T$26),"")</f>
        <v/>
      </c>
      <c r="S48" s="63" t="str">
        <f>IF(AND('Mapa final'!$AD$27="Muy Baja",'Mapa final'!$AF$27="Menor"),CONCATENATE("R3C",'Mapa final'!$T$27),"")</f>
        <v/>
      </c>
      <c r="T48" s="63" t="str">
        <f>IF(AND('Mapa final'!$AD$28="Muy Baja",'Mapa final'!$AF$28="Menor"),CONCATENATE("R3C",'Mapa final'!$T$28),"")</f>
        <v/>
      </c>
      <c r="U48" s="64" t="str">
        <f>IF(AND('Mapa final'!$AD$29="Muy Baja",'Mapa final'!$AF$29="Menor"),CONCATENATE("R3C",'Mapa final'!$T$29),"")</f>
        <v/>
      </c>
      <c r="V48" s="53" t="str">
        <f>IF(AND('Mapa final'!$AD$24="Muy Baja",'Mapa final'!$AF$24="Moderado"),CONCATENATE("R3C",'Mapa final'!$T$24),"")</f>
        <v/>
      </c>
      <c r="W48" s="54" t="str">
        <f>IF(AND('Mapa final'!$AD$25="Muy Baja",'Mapa final'!$AF$25="Moderado"),CONCATENATE("R3C",'Mapa final'!$T$25),"")</f>
        <v/>
      </c>
      <c r="X48" s="54" t="str">
        <f>IF(AND('Mapa final'!$AD$26="Muy Baja",'Mapa final'!$AF$26="Moderado"),CONCATENATE("R3C",'Mapa final'!$T$26),"")</f>
        <v/>
      </c>
      <c r="Y48" s="54" t="str">
        <f>IF(AND('Mapa final'!$AD$27="Muy Baja",'Mapa final'!$AF$27="Moderado"),CONCATENATE("R3C",'Mapa final'!$T$27),"")</f>
        <v/>
      </c>
      <c r="Z48" s="54" t="str">
        <f>IF(AND('Mapa final'!$AD$28="Muy Baja",'Mapa final'!$AF$28="Moderado"),CONCATENATE("R3C",'Mapa final'!$T$28),"")</f>
        <v/>
      </c>
      <c r="AA48" s="55" t="str">
        <f>IF(AND('Mapa final'!$AD$29="Muy Baja",'Mapa final'!$AF$29="Moderado"),CONCATENATE("R3C",'Mapa final'!$T$29),"")</f>
        <v/>
      </c>
      <c r="AB48" s="38" t="str">
        <f>IF(AND('Mapa final'!$AD$24="Muy Baja",'Mapa final'!$AF$24="Mayor"),CONCATENATE("R3C",'Mapa final'!$T$24),"")</f>
        <v/>
      </c>
      <c r="AC48" s="39" t="str">
        <f>IF(AND('Mapa final'!$AD$25="Muy Baja",'Mapa final'!$AF$25="Mayor"),CONCATENATE("R3C",'Mapa final'!$T$25),"")</f>
        <v/>
      </c>
      <c r="AD48" s="39" t="str">
        <f>IF(AND('Mapa final'!$AD$26="Muy Baja",'Mapa final'!$AF$26="Mayor"),CONCATENATE("R3C",'Mapa final'!$T$26),"")</f>
        <v/>
      </c>
      <c r="AE48" s="39" t="str">
        <f>IF(AND('Mapa final'!$AD$27="Muy Baja",'Mapa final'!$AF$27="Mayor"),CONCATENATE("R3C",'Mapa final'!$T$27),"")</f>
        <v/>
      </c>
      <c r="AF48" s="39" t="str">
        <f>IF(AND('Mapa final'!$AD$28="Muy Baja",'Mapa final'!$AF$28="Mayor"),CONCATENATE("R3C",'Mapa final'!$T$28),"")</f>
        <v>R3C5</v>
      </c>
      <c r="AG48" s="40" t="str">
        <f>IF(AND('Mapa final'!$AD$29="Muy Baja",'Mapa final'!$AF$29="Mayor"),CONCATENATE("R3C",'Mapa final'!$T$29),"")</f>
        <v/>
      </c>
      <c r="AH48" s="41" t="str">
        <f>IF(AND('Mapa final'!$AD$24="Muy Baja",'Mapa final'!$AF$24="Catastrófico"),CONCATENATE("R3C",'Mapa final'!$T$24),"")</f>
        <v/>
      </c>
      <c r="AI48" s="42" t="str">
        <f>IF(AND('Mapa final'!$AD$25="Muy Baja",'Mapa final'!$AF$25="Catastrófico"),CONCATENATE("R3C",'Mapa final'!$T$25),"")</f>
        <v/>
      </c>
      <c r="AJ48" s="42" t="str">
        <f>IF(AND('Mapa final'!$AD$26="Muy Baja",'Mapa final'!$AF$26="Catastrófico"),CONCATENATE("R3C",'Mapa final'!$T$26),"")</f>
        <v/>
      </c>
      <c r="AK48" s="42" t="str">
        <f>IF(AND('Mapa final'!$AD$27="Muy Baja",'Mapa final'!$AF$27="Catastrófico"),CONCATENATE("R3C",'Mapa final'!$T$27),"")</f>
        <v>R3C4</v>
      </c>
      <c r="AL48" s="42" t="str">
        <f>IF(AND('Mapa final'!$AD$28="Muy Baja",'Mapa final'!$AF$28="Catastrófico"),CONCATENATE("R3C",'Mapa final'!$T$28),"")</f>
        <v/>
      </c>
      <c r="AM48" s="43" t="str">
        <f>IF(AND('Mapa final'!$AD$29="Muy Baja",'Mapa final'!$AF$29="Catastrófico"),CONCATENATE("R3C",'Mapa final'!$T$29),"")</f>
        <v/>
      </c>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ht="15" customHeight="1" x14ac:dyDescent="0.25">
      <c r="A49" s="69"/>
      <c r="B49" s="432"/>
      <c r="C49" s="432"/>
      <c r="D49" s="433"/>
      <c r="E49" s="531"/>
      <c r="F49" s="530"/>
      <c r="G49" s="530"/>
      <c r="H49" s="530"/>
      <c r="I49" s="546"/>
      <c r="J49" s="62" t="str">
        <f>IF(AND('Mapa final'!$AD$30="Muy Baja",'Mapa final'!$AF$30="Leve"),CONCATENATE("R4C",'Mapa final'!$T$30),"")</f>
        <v/>
      </c>
      <c r="K49" s="63" t="str">
        <f>IF(AND('Mapa final'!$AD$31="Muy Baja",'Mapa final'!$AF$31="Leve"),CONCATENATE("R4C",'Mapa final'!$T$31),"")</f>
        <v/>
      </c>
      <c r="L49" s="63" t="str">
        <f>IF(AND('Mapa final'!$AD$32="Muy Baja",'Mapa final'!$AF$32="Leve"),CONCATENATE("R4C",'Mapa final'!$T$32),"")</f>
        <v/>
      </c>
      <c r="M49" s="63" t="str">
        <f>IF(AND('Mapa final'!$AD$33="Muy Baja",'Mapa final'!$AF$33="Leve"),CONCATENATE("R4C",'Mapa final'!$T$33),"")</f>
        <v/>
      </c>
      <c r="N49" s="63" t="str">
        <f>IF(AND('Mapa final'!$AD$34="Muy Baja",'Mapa final'!$AF$34="Leve"),CONCATENATE("R4C",'Mapa final'!$T$34),"")</f>
        <v/>
      </c>
      <c r="O49" s="64" t="str">
        <f>IF(AND('Mapa final'!$AD$35="Muy Baja",'Mapa final'!$AF$35="Leve"),CONCATENATE("R4C",'Mapa final'!$T$35),"")</f>
        <v/>
      </c>
      <c r="P49" s="62" t="str">
        <f>IF(AND('Mapa final'!$AD$30="Muy Baja",'Mapa final'!$AF$30="Menor"),CONCATENATE("R4C",'Mapa final'!$T$30),"")</f>
        <v/>
      </c>
      <c r="Q49" s="63" t="str">
        <f>IF(AND('Mapa final'!$AD$31="Muy Baja",'Mapa final'!$AF$31="Menor"),CONCATENATE("R4C",'Mapa final'!$T$31),"")</f>
        <v/>
      </c>
      <c r="R49" s="63" t="str">
        <f>IF(AND('Mapa final'!$AD$32="Muy Baja",'Mapa final'!$AF$32="Menor"),CONCATENATE("R4C",'Mapa final'!$T$32),"")</f>
        <v/>
      </c>
      <c r="S49" s="63" t="str">
        <f>IF(AND('Mapa final'!$AD$33="Muy Baja",'Mapa final'!$AF$33="Menor"),CONCATENATE("R4C",'Mapa final'!$T$33),"")</f>
        <v/>
      </c>
      <c r="T49" s="63" t="str">
        <f>IF(AND('Mapa final'!$AD$34="Muy Baja",'Mapa final'!$AF$34="Menor"),CONCATENATE("R4C",'Mapa final'!$T$34),"")</f>
        <v/>
      </c>
      <c r="U49" s="64" t="str">
        <f>IF(AND('Mapa final'!$AD$35="Muy Baja",'Mapa final'!$AF$35="Menor"),CONCATENATE("R4C",'Mapa final'!$T$35),"")</f>
        <v/>
      </c>
      <c r="V49" s="53" t="str">
        <f>IF(AND('Mapa final'!$AD$30="Muy Baja",'Mapa final'!$AF$30="Moderado"),CONCATENATE("R4C",'Mapa final'!$T$30),"")</f>
        <v/>
      </c>
      <c r="W49" s="54" t="str">
        <f>IF(AND('Mapa final'!$AD$31="Muy Baja",'Mapa final'!$AF$31="Moderado"),CONCATENATE("R4C",'Mapa final'!$T$31),"")</f>
        <v/>
      </c>
      <c r="X49" s="54" t="str">
        <f>IF(AND('Mapa final'!$AD$32="Muy Baja",'Mapa final'!$AF$32="Moderado"),CONCATENATE("R4C",'Mapa final'!$T$32),"")</f>
        <v/>
      </c>
      <c r="Y49" s="54" t="str">
        <f>IF(AND('Mapa final'!$AD$33="Muy Baja",'Mapa final'!$AF$33="Moderado"),CONCATENATE("R4C",'Mapa final'!$T$33),"")</f>
        <v>R4C4</v>
      </c>
      <c r="Z49" s="54" t="str">
        <f>IF(AND('Mapa final'!$AD$34="Muy Baja",'Mapa final'!$AF$34="Moderado"),CONCATENATE("R4C",'Mapa final'!$T$34),"")</f>
        <v/>
      </c>
      <c r="AA49" s="55" t="str">
        <f>IF(AND('Mapa final'!$AD$35="Muy Baja",'Mapa final'!$AF$35="Moderado"),CONCATENATE("R4C",'Mapa final'!$T$35),"")</f>
        <v/>
      </c>
      <c r="AB49" s="38" t="str">
        <f>IF(AND('Mapa final'!$AD$30="Muy Baja",'Mapa final'!$AF$30="Mayor"),CONCATENATE("R4C",'Mapa final'!$T$30),"")</f>
        <v/>
      </c>
      <c r="AC49" s="39" t="str">
        <f>IF(AND('Mapa final'!$AD$31="Muy Baja",'Mapa final'!$AF$31="Mayor"),CONCATENATE("R4C",'Mapa final'!$T$31),"")</f>
        <v/>
      </c>
      <c r="AD49" s="39" t="str">
        <f>IF(AND('Mapa final'!$AD$32="Muy Baja",'Mapa final'!$AF$32="Mayor"),CONCATENATE("R4C",'Mapa final'!$T$32),"")</f>
        <v>R4C3</v>
      </c>
      <c r="AE49" s="39" t="str">
        <f>IF(AND('Mapa final'!$AD$33="Muy Baja",'Mapa final'!$AF$33="Mayor"),CONCATENATE("R4C",'Mapa final'!$T$33),"")</f>
        <v/>
      </c>
      <c r="AF49" s="39" t="str">
        <f>IF(AND('Mapa final'!$AD$34="Muy Baja",'Mapa final'!$AF$34="Mayor"),CONCATENATE("R4C",'Mapa final'!$T$34),"")</f>
        <v/>
      </c>
      <c r="AG49" s="40" t="str">
        <f>IF(AND('Mapa final'!$AD$35="Muy Baja",'Mapa final'!$AF$35="Mayor"),CONCATENATE("R4C",'Mapa final'!$T$35),"")</f>
        <v/>
      </c>
      <c r="AH49" s="41" t="str">
        <f>IF(AND('Mapa final'!$AD$30="Muy Baja",'Mapa final'!$AF$30="Catastrófico"),CONCATENATE("R4C",'Mapa final'!$T$30),"")</f>
        <v/>
      </c>
      <c r="AI49" s="42" t="str">
        <f>IF(AND('Mapa final'!$AD$31="Muy Baja",'Mapa final'!$AF$31="Catastrófico"),CONCATENATE("R4C",'Mapa final'!$T$31),"")</f>
        <v/>
      </c>
      <c r="AJ49" s="42" t="str">
        <f>IF(AND('Mapa final'!$AD$32="Muy Baja",'Mapa final'!$AF$32="Catastrófico"),CONCATENATE("R4C",'Mapa final'!$T$32),"")</f>
        <v/>
      </c>
      <c r="AK49" s="42" t="str">
        <f>IF(AND('Mapa final'!$AD$33="Muy Baja",'Mapa final'!$AF$33="Catastrófico"),CONCATENATE("R4C",'Mapa final'!$T$33),"")</f>
        <v/>
      </c>
      <c r="AL49" s="42" t="str">
        <f>IF(AND('Mapa final'!$AD$34="Muy Baja",'Mapa final'!$AF$34="Catastrófico"),CONCATENATE("R4C",'Mapa final'!$T$34),"")</f>
        <v/>
      </c>
      <c r="AM49" s="43" t="str">
        <f>IF(AND('Mapa final'!$AD$35="Muy Baja",'Mapa final'!$AF$35="Catastrófico"),CONCATENATE("R4C",'Mapa final'!$T$35),"")</f>
        <v/>
      </c>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ht="15" customHeight="1" x14ac:dyDescent="0.25">
      <c r="A50" s="69"/>
      <c r="B50" s="432"/>
      <c r="C50" s="432"/>
      <c r="D50" s="433"/>
      <c r="E50" s="531"/>
      <c r="F50" s="530"/>
      <c r="G50" s="530"/>
      <c r="H50" s="530"/>
      <c r="I50" s="546"/>
      <c r="J50" s="62" t="str">
        <f>IF(AND('Mapa final'!$AD$36="Muy Baja",'Mapa final'!$AF$36="Leve"),CONCATENATE("R5C",'Mapa final'!$T$36),"")</f>
        <v/>
      </c>
      <c r="K50" s="63" t="str">
        <f>IF(AND('Mapa final'!$AD$37="Muy Baja",'Mapa final'!$AF$37="Leve"),CONCATENATE("R5C",'Mapa final'!$T$37),"")</f>
        <v/>
      </c>
      <c r="L50" s="63" t="str">
        <f>IF(AND('Mapa final'!$AD$38="Muy Baja",'Mapa final'!$AF$38="Leve"),CONCATENATE("R5C",'Mapa final'!$T$38),"")</f>
        <v/>
      </c>
      <c r="M50" s="63" t="str">
        <f>IF(AND('Mapa final'!$AD$39="Muy Baja",'Mapa final'!$AF$39="Leve"),CONCATENATE("R5C",'Mapa final'!$T$39),"")</f>
        <v/>
      </c>
      <c r="N50" s="63" t="str">
        <f>IF(AND('Mapa final'!$AD$40="Muy Baja",'Mapa final'!$AF$40="Leve"),CONCATENATE("R5C",'Mapa final'!$T$40),"")</f>
        <v/>
      </c>
      <c r="O50" s="64" t="str">
        <f>IF(AND('Mapa final'!$AD$41="Muy Baja",'Mapa final'!$AF$41="Leve"),CONCATENATE("R5C",'Mapa final'!$T$41),"")</f>
        <v/>
      </c>
      <c r="P50" s="62" t="str">
        <f>IF(AND('Mapa final'!$AD$36="Muy Baja",'Mapa final'!$AF$36="Menor"),CONCATENATE("R5C",'Mapa final'!$T$36),"")</f>
        <v/>
      </c>
      <c r="Q50" s="63" t="str">
        <f>IF(AND('Mapa final'!$AD$37="Muy Baja",'Mapa final'!$AF$37="Menor"),CONCATENATE("R5C",'Mapa final'!$T$37),"")</f>
        <v/>
      </c>
      <c r="R50" s="63" t="str">
        <f>IF(AND('Mapa final'!$AD$38="Muy Baja",'Mapa final'!$AF$38="Menor"),CONCATENATE("R5C",'Mapa final'!$T$38),"")</f>
        <v/>
      </c>
      <c r="S50" s="63" t="str">
        <f>IF(AND('Mapa final'!$AD$39="Muy Baja",'Mapa final'!$AF$39="Menor"),CONCATENATE("R5C",'Mapa final'!$T$39),"")</f>
        <v/>
      </c>
      <c r="T50" s="63" t="str">
        <f>IF(AND('Mapa final'!$AD$40="Muy Baja",'Mapa final'!$AF$40="Menor"),CONCATENATE("R5C",'Mapa final'!$T$40),"")</f>
        <v/>
      </c>
      <c r="U50" s="64" t="str">
        <f>IF(AND('Mapa final'!$AD$41="Muy Baja",'Mapa final'!$AF$41="Menor"),CONCATENATE("R5C",'Mapa final'!$T$41),"")</f>
        <v/>
      </c>
      <c r="V50" s="53" t="str">
        <f>IF(AND('Mapa final'!$AD$36="Muy Baja",'Mapa final'!$AF$36="Moderado"),CONCATENATE("R5C",'Mapa final'!$T$36),"")</f>
        <v/>
      </c>
      <c r="W50" s="54" t="str">
        <f>IF(AND('Mapa final'!$AD$37="Muy Baja",'Mapa final'!$AF$37="Moderado"),CONCATENATE("R5C",'Mapa final'!$T$37),"")</f>
        <v/>
      </c>
      <c r="X50" s="54" t="str">
        <f>IF(AND('Mapa final'!$AD$38="Muy Baja",'Mapa final'!$AF$38="Moderado"),CONCATENATE("R5C",'Mapa final'!$T$38),"")</f>
        <v/>
      </c>
      <c r="Y50" s="54" t="str">
        <f>IF(AND('Mapa final'!$AD$39="Muy Baja",'Mapa final'!$AF$39="Moderado"),CONCATENATE("R5C",'Mapa final'!$T$39),"")</f>
        <v/>
      </c>
      <c r="Z50" s="54" t="str">
        <f>IF(AND('Mapa final'!$AD$40="Muy Baja",'Mapa final'!$AF$40="Moderado"),CONCATENATE("R5C",'Mapa final'!$T$40),"")</f>
        <v/>
      </c>
      <c r="AA50" s="55" t="str">
        <f>IF(AND('Mapa final'!$AD$41="Muy Baja",'Mapa final'!$AF$41="Moderado"),CONCATENATE("R5C",'Mapa final'!$T$41),"")</f>
        <v/>
      </c>
      <c r="AB50" s="38" t="str">
        <f>IF(AND('Mapa final'!$AD$36="Muy Baja",'Mapa final'!$AF$36="Mayor"),CONCATENATE("R5C",'Mapa final'!$T$36),"")</f>
        <v/>
      </c>
      <c r="AC50" s="39" t="str">
        <f>IF(AND('Mapa final'!$AD$37="Muy Baja",'Mapa final'!$AF$37="Mayor"),CONCATENATE("R5C",'Mapa final'!$T$37),"")</f>
        <v/>
      </c>
      <c r="AD50" s="39" t="str">
        <f>IF(AND('Mapa final'!$AD$38="Muy Baja",'Mapa final'!$AF$38="Mayor"),CONCATENATE("R5C",'Mapa final'!$T$38),"")</f>
        <v/>
      </c>
      <c r="AE50" s="39" t="str">
        <f>IF(AND('Mapa final'!$AD$39="Muy Baja",'Mapa final'!$AF$39="Mayor"),CONCATENATE("R5C",'Mapa final'!$T$39),"")</f>
        <v/>
      </c>
      <c r="AF50" s="39" t="str">
        <f>IF(AND('Mapa final'!$AD$40="Muy Baja",'Mapa final'!$AF$40="Mayor"),CONCATENATE("R5C",'Mapa final'!$T$40),"")</f>
        <v/>
      </c>
      <c r="AG50" s="40" t="str">
        <f>IF(AND('Mapa final'!$AD$41="Muy Baja",'Mapa final'!$AF$41="Mayor"),CONCATENATE("R5C",'Mapa final'!$T$41),"")</f>
        <v/>
      </c>
      <c r="AH50" s="41" t="str">
        <f>IF(AND('Mapa final'!$AD$36="Muy Baja",'Mapa final'!$AF$36="Catastrófico"),CONCATENATE("R5C",'Mapa final'!$T$36),"")</f>
        <v/>
      </c>
      <c r="AI50" s="42" t="str">
        <f>IF(AND('Mapa final'!$AD$37="Muy Baja",'Mapa final'!$AF$37="Catastrófico"),CONCATENATE("R5C",'Mapa final'!$T$37),"")</f>
        <v/>
      </c>
      <c r="AJ50" s="42" t="str">
        <f>IF(AND('Mapa final'!$AD$38="Muy Baja",'Mapa final'!$AF$38="Catastrófico"),CONCATENATE("R5C",'Mapa final'!$T$38),"")</f>
        <v/>
      </c>
      <c r="AK50" s="42" t="str">
        <f>IF(AND('Mapa final'!$AD$39="Muy Baja",'Mapa final'!$AF$39="Catastrófico"),CONCATENATE("R5C",'Mapa final'!$T$39),"")</f>
        <v/>
      </c>
      <c r="AL50" s="42" t="str">
        <f>IF(AND('Mapa final'!$AD$40="Muy Baja",'Mapa final'!$AF$40="Catastrófico"),CONCATENATE("R5C",'Mapa final'!$T$40),"")</f>
        <v/>
      </c>
      <c r="AM50" s="43" t="str">
        <f>IF(AND('Mapa final'!$AD$41="Muy Baja",'Mapa final'!$AF$41="Catastrófico"),CONCATENATE("R5C",'Mapa final'!$T$41),"")</f>
        <v/>
      </c>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 customHeight="1" x14ac:dyDescent="0.25">
      <c r="A51" s="69"/>
      <c r="B51" s="432"/>
      <c r="C51" s="432"/>
      <c r="D51" s="433"/>
      <c r="E51" s="531"/>
      <c r="F51" s="530"/>
      <c r="G51" s="530"/>
      <c r="H51" s="530"/>
      <c r="I51" s="546"/>
      <c r="J51" s="62" t="str">
        <f>IF(AND('Mapa final'!$AD$42="Muy Baja",'Mapa final'!$AF$42="Leve"),CONCATENATE("R6C",'Mapa final'!$T$42),"")</f>
        <v/>
      </c>
      <c r="K51" s="63" t="str">
        <f>IF(AND('Mapa final'!$AD$43="Muy Baja",'Mapa final'!$AF$43="Leve"),CONCATENATE("R6C",'Mapa final'!$T$43),"")</f>
        <v/>
      </c>
      <c r="L51" s="63" t="str">
        <f>IF(AND('Mapa final'!$AD$44="Muy Baja",'Mapa final'!$AF$44="Leve"),CONCATENATE("R6C",'Mapa final'!$T$44),"")</f>
        <v/>
      </c>
      <c r="M51" s="63" t="str">
        <f>IF(AND('Mapa final'!$AD$45="Muy Baja",'Mapa final'!$AF$45="Leve"),CONCATENATE("R6C",'Mapa final'!$T$45),"")</f>
        <v/>
      </c>
      <c r="N51" s="63" t="str">
        <f>IF(AND('Mapa final'!$AD$46="Muy Baja",'Mapa final'!$AF$46="Leve"),CONCATENATE("R6C",'Mapa final'!$T$46),"")</f>
        <v/>
      </c>
      <c r="O51" s="64" t="str">
        <f>IF(AND('Mapa final'!$AD$47="Muy Baja",'Mapa final'!$AF$47="Leve"),CONCATENATE("R6C",'Mapa final'!$T$47),"")</f>
        <v/>
      </c>
      <c r="P51" s="62" t="str">
        <f>IF(AND('Mapa final'!$AD$42="Muy Baja",'Mapa final'!$AF$42="Menor"),CONCATENATE("R6C",'Mapa final'!$T$42),"")</f>
        <v/>
      </c>
      <c r="Q51" s="63" t="str">
        <f>IF(AND('Mapa final'!$AD$43="Muy Baja",'Mapa final'!$AF$43="Menor"),CONCATENATE("R6C",'Mapa final'!$T$43),"")</f>
        <v/>
      </c>
      <c r="R51" s="63" t="str">
        <f>IF(AND('Mapa final'!$AD$44="Muy Baja",'Mapa final'!$AF$44="Menor"),CONCATENATE("R6C",'Mapa final'!$T$44),"")</f>
        <v/>
      </c>
      <c r="S51" s="63" t="str">
        <f>IF(AND('Mapa final'!$AD$45="Muy Baja",'Mapa final'!$AF$45="Menor"),CONCATENATE("R6C",'Mapa final'!$T$45),"")</f>
        <v/>
      </c>
      <c r="T51" s="63" t="str">
        <f>IF(AND('Mapa final'!$AD$46="Muy Baja",'Mapa final'!$AF$46="Menor"),CONCATENATE("R6C",'Mapa final'!$T$46),"")</f>
        <v/>
      </c>
      <c r="U51" s="64" t="str">
        <f>IF(AND('Mapa final'!$AD$47="Muy Baja",'Mapa final'!$AF$47="Menor"),CONCATENATE("R6C",'Mapa final'!$T$47),"")</f>
        <v/>
      </c>
      <c r="V51" s="53" t="str">
        <f>IF(AND('Mapa final'!$AD$42="Muy Baja",'Mapa final'!$AF$42="Moderado"),CONCATENATE("R6C",'Mapa final'!$T$42),"")</f>
        <v/>
      </c>
      <c r="W51" s="54" t="str">
        <f>IF(AND('Mapa final'!$AD$43="Muy Baja",'Mapa final'!$AF$43="Moderado"),CONCATENATE("R6C",'Mapa final'!$T$43),"")</f>
        <v/>
      </c>
      <c r="X51" s="54" t="str">
        <f>IF(AND('Mapa final'!$AD$44="Muy Baja",'Mapa final'!$AF$44="Moderado"),CONCATENATE("R6C",'Mapa final'!$T$44),"")</f>
        <v/>
      </c>
      <c r="Y51" s="54" t="str">
        <f>IF(AND('Mapa final'!$AD$45="Muy Baja",'Mapa final'!$AF$45="Moderado"),CONCATENATE("R6C",'Mapa final'!$T$45),"")</f>
        <v/>
      </c>
      <c r="Z51" s="54" t="str">
        <f>IF(AND('Mapa final'!$AD$46="Muy Baja",'Mapa final'!$AF$46="Moderado"),CONCATENATE("R6C",'Mapa final'!$T$46),"")</f>
        <v/>
      </c>
      <c r="AA51" s="55" t="str">
        <f>IF(AND('Mapa final'!$AD$47="Muy Baja",'Mapa final'!$AF$47="Moderado"),CONCATENATE("R6C",'Mapa final'!$T$47),"")</f>
        <v>R6C6</v>
      </c>
      <c r="AB51" s="38" t="str">
        <f>IF(AND('Mapa final'!$AD$42="Muy Baja",'Mapa final'!$AF$42="Mayor"),CONCATENATE("R6C",'Mapa final'!$T$42),"")</f>
        <v/>
      </c>
      <c r="AC51" s="39" t="str">
        <f>IF(AND('Mapa final'!$AD$43="Muy Baja",'Mapa final'!$AF$43="Mayor"),CONCATENATE("R6C",'Mapa final'!$T$43),"")</f>
        <v/>
      </c>
      <c r="AD51" s="39" t="str">
        <f>IF(AND('Mapa final'!$AD$44="Muy Baja",'Mapa final'!$AF$44="Mayor"),CONCATENATE("R6C",'Mapa final'!$T$44),"")</f>
        <v>R6C3</v>
      </c>
      <c r="AE51" s="39" t="str">
        <f>IF(AND('Mapa final'!$AD$45="Muy Baja",'Mapa final'!$AF$45="Mayor"),CONCATENATE("R6C",'Mapa final'!$T$45),"")</f>
        <v>R6C4</v>
      </c>
      <c r="AF51" s="39" t="str">
        <f>IF(AND('Mapa final'!$AD$46="Muy Baja",'Mapa final'!$AF$46="Mayor"),CONCATENATE("R6C",'Mapa final'!$T$46),"")</f>
        <v>R6C5</v>
      </c>
      <c r="AG51" s="40" t="str">
        <f>IF(AND('Mapa final'!$AD$47="Muy Baja",'Mapa final'!$AF$47="Mayor"),CONCATENATE("R6C",'Mapa final'!$T$47),"")</f>
        <v/>
      </c>
      <c r="AH51" s="41" t="str">
        <f>IF(AND('Mapa final'!$AD$42="Muy Baja",'Mapa final'!$AF$42="Catastrófico"),CONCATENATE("R6C",'Mapa final'!$T$42),"")</f>
        <v/>
      </c>
      <c r="AI51" s="42" t="str">
        <f>IF(AND('Mapa final'!$AD$43="Muy Baja",'Mapa final'!$AF$43="Catastrófico"),CONCATENATE("R6C",'Mapa final'!$T$43),"")</f>
        <v/>
      </c>
      <c r="AJ51" s="42" t="str">
        <f>IF(AND('Mapa final'!$AD$44="Muy Baja",'Mapa final'!$AF$44="Catastrófico"),CONCATENATE("R6C",'Mapa final'!$T$44),"")</f>
        <v/>
      </c>
      <c r="AK51" s="42" t="str">
        <f>IF(AND('Mapa final'!$AD$45="Muy Baja",'Mapa final'!$AF$45="Catastrófico"),CONCATENATE("R6C",'Mapa final'!$T$45),"")</f>
        <v/>
      </c>
      <c r="AL51" s="42" t="str">
        <f>IF(AND('Mapa final'!$AD$46="Muy Baja",'Mapa final'!$AF$46="Catastrófico"),CONCATENATE("R6C",'Mapa final'!$T$46),"")</f>
        <v/>
      </c>
      <c r="AM51" s="43" t="str">
        <f>IF(AND('Mapa final'!$AD$47="Muy Baja",'Mapa final'!$AF$47="Catastrófico"),CONCATENATE("R6C",'Mapa final'!$T$47),"")</f>
        <v/>
      </c>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ht="15" customHeight="1" x14ac:dyDescent="0.25">
      <c r="A52" s="69"/>
      <c r="B52" s="432"/>
      <c r="C52" s="432"/>
      <c r="D52" s="433"/>
      <c r="E52" s="531"/>
      <c r="F52" s="530"/>
      <c r="G52" s="530"/>
      <c r="H52" s="530"/>
      <c r="I52" s="546"/>
      <c r="J52" s="62" t="str">
        <f>IF(AND('Mapa final'!$AD$48="Muy Baja",'Mapa final'!$AF$48="Leve"),CONCATENATE("R7C",'Mapa final'!$T$48),"")</f>
        <v/>
      </c>
      <c r="K52" s="63" t="str">
        <f>IF(AND('Mapa final'!$AD$49="Muy Baja",'Mapa final'!$AF$49="Leve"),CONCATENATE("R7C",'Mapa final'!$T$49),"")</f>
        <v/>
      </c>
      <c r="L52" s="63" t="str">
        <f>IF(AND('Mapa final'!$AD$50="Muy Baja",'Mapa final'!$AF$50="Leve"),CONCATENATE("R7C",'Mapa final'!$T$50),"")</f>
        <v/>
      </c>
      <c r="M52" s="63" t="str">
        <f>IF(AND('Mapa final'!$AD$51="Muy Baja",'Mapa final'!$AF$51="Leve"),CONCATENATE("R7C",'Mapa final'!$T$51),"")</f>
        <v/>
      </c>
      <c r="N52" s="63" t="str">
        <f>IF(AND('Mapa final'!$AD$52="Muy Baja",'Mapa final'!$AF$52="Leve"),CONCATENATE("R7C",'Mapa final'!$T$52),"")</f>
        <v/>
      </c>
      <c r="O52" s="64" t="str">
        <f>IF(AND('Mapa final'!$AD$53="Muy Baja",'Mapa final'!$AF$53="Leve"),CONCATENATE("R7C",'Mapa final'!$T$53),"")</f>
        <v/>
      </c>
      <c r="P52" s="62" t="str">
        <f>IF(AND('Mapa final'!$AD$48="Muy Baja",'Mapa final'!$AF$48="Menor"),CONCATENATE("R7C",'Mapa final'!$T$48),"")</f>
        <v/>
      </c>
      <c r="Q52" s="63" t="str">
        <f>IF(AND('Mapa final'!$AD$49="Muy Baja",'Mapa final'!$AF$49="Menor"),CONCATENATE("R7C",'Mapa final'!$T$49),"")</f>
        <v/>
      </c>
      <c r="R52" s="63" t="str">
        <f>IF(AND('Mapa final'!$AD$50="Muy Baja",'Mapa final'!$AF$50="Menor"),CONCATENATE("R7C",'Mapa final'!$T$50),"")</f>
        <v/>
      </c>
      <c r="S52" s="63" t="str">
        <f>IF(AND('Mapa final'!$AD$51="Muy Baja",'Mapa final'!$AF$51="Menor"),CONCATENATE("R7C",'Mapa final'!$T$51),"")</f>
        <v/>
      </c>
      <c r="T52" s="63" t="str">
        <f>IF(AND('Mapa final'!$AD$52="Muy Baja",'Mapa final'!$AF$52="Menor"),CONCATENATE("R7C",'Mapa final'!$T$52),"")</f>
        <v/>
      </c>
      <c r="U52" s="64" t="str">
        <f>IF(AND('Mapa final'!$AD$53="Muy Baja",'Mapa final'!$AF$53="Menor"),CONCATENATE("R7C",'Mapa final'!$T$53),"")</f>
        <v/>
      </c>
      <c r="V52" s="53" t="str">
        <f>IF(AND('Mapa final'!$AD$48="Muy Baja",'Mapa final'!$AF$48="Moderado"),CONCATENATE("R7C",'Mapa final'!$T$48),"")</f>
        <v/>
      </c>
      <c r="W52" s="54" t="str">
        <f>IF(AND('Mapa final'!$AD$49="Muy Baja",'Mapa final'!$AF$49="Moderado"),CONCATENATE("R7C",'Mapa final'!$T$49),"")</f>
        <v/>
      </c>
      <c r="X52" s="54" t="str">
        <f>IF(AND('Mapa final'!$AD$50="Muy Baja",'Mapa final'!$AF$50="Moderado"),CONCATENATE("R7C",'Mapa final'!$T$50),"")</f>
        <v/>
      </c>
      <c r="Y52" s="54" t="str">
        <f>IF(AND('Mapa final'!$AD$51="Muy Baja",'Mapa final'!$AF$51="Moderado"),CONCATENATE("R7C",'Mapa final'!$T$51),"")</f>
        <v/>
      </c>
      <c r="Z52" s="54" t="str">
        <f>IF(AND('Mapa final'!$AD$52="Muy Baja",'Mapa final'!$AF$52="Moderado"),CONCATENATE("R7C",'Mapa final'!$T$52),"")</f>
        <v/>
      </c>
      <c r="AA52" s="55" t="str">
        <f>IF(AND('Mapa final'!$AD$53="Muy Baja",'Mapa final'!$AF$53="Moderado"),CONCATENATE("R7C",'Mapa final'!$T$53),"")</f>
        <v/>
      </c>
      <c r="AB52" s="38" t="str">
        <f>IF(AND('Mapa final'!$AD$48="Muy Baja",'Mapa final'!$AF$48="Mayor"),CONCATENATE("R7C",'Mapa final'!$T$48),"")</f>
        <v/>
      </c>
      <c r="AC52" s="39" t="str">
        <f>IF(AND('Mapa final'!$AD$49="Muy Baja",'Mapa final'!$AF$49="Mayor"),CONCATENATE("R7C",'Mapa final'!$T$49),"")</f>
        <v/>
      </c>
      <c r="AD52" s="39" t="str">
        <f>IF(AND('Mapa final'!$AD$50="Muy Baja",'Mapa final'!$AF$50="Mayor"),CONCATENATE("R7C",'Mapa final'!$T$50),"")</f>
        <v/>
      </c>
      <c r="AE52" s="39" t="str">
        <f>IF(AND('Mapa final'!$AD$51="Muy Baja",'Mapa final'!$AF$51="Mayor"),CONCATENATE("R7C",'Mapa final'!$T$51),"")</f>
        <v>R7C4</v>
      </c>
      <c r="AF52" s="39" t="str">
        <f>IF(AND('Mapa final'!$AD$52="Muy Baja",'Mapa final'!$AF$52="Mayor"),CONCATENATE("R7C",'Mapa final'!$T$52),"")</f>
        <v/>
      </c>
      <c r="AG52" s="40" t="str">
        <f>IF(AND('Mapa final'!$AD$53="Muy Baja",'Mapa final'!$AF$53="Mayor"),CONCATENATE("R7C",'Mapa final'!$T$53),"")</f>
        <v/>
      </c>
      <c r="AH52" s="41" t="str">
        <f>IF(AND('Mapa final'!$AD$48="Muy Baja",'Mapa final'!$AF$48="Catastrófico"),CONCATENATE("R7C",'Mapa final'!$T$48),"")</f>
        <v/>
      </c>
      <c r="AI52" s="42" t="str">
        <f>IF(AND('Mapa final'!$AD$49="Muy Baja",'Mapa final'!$AF$49="Catastrófico"),CONCATENATE("R7C",'Mapa final'!$T$49),"")</f>
        <v>R7C2</v>
      </c>
      <c r="AJ52" s="42" t="str">
        <f>IF(AND('Mapa final'!$AD$50="Muy Baja",'Mapa final'!$AF$50="Catastrófico"),CONCATENATE("R7C",'Mapa final'!$T$50),"")</f>
        <v>R7C3</v>
      </c>
      <c r="AK52" s="42" t="str">
        <f>IF(AND('Mapa final'!$AD$51="Muy Baja",'Mapa final'!$AF$51="Catastrófico"),CONCATENATE("R7C",'Mapa final'!$T$51),"")</f>
        <v/>
      </c>
      <c r="AL52" s="42" t="str">
        <f>IF(AND('Mapa final'!$AD$52="Muy Baja",'Mapa final'!$AF$52="Catastrófico"),CONCATENATE("R7C",'Mapa final'!$T$52),"")</f>
        <v/>
      </c>
      <c r="AM52" s="43" t="str">
        <f>IF(AND('Mapa final'!$AD$53="Muy Baja",'Mapa final'!$AF$53="Catastrófico"),CONCATENATE("R7C",'Mapa final'!$T$53),"")</f>
        <v/>
      </c>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432"/>
      <c r="C53" s="432"/>
      <c r="D53" s="433"/>
      <c r="E53" s="531"/>
      <c r="F53" s="530"/>
      <c r="G53" s="530"/>
      <c r="H53" s="530"/>
      <c r="I53" s="546"/>
      <c r="J53" s="62" t="str">
        <f>IF(AND('Mapa final'!$AD$54="Muy Baja",'Mapa final'!$AF$54="Leve"),CONCATENATE("R8C",'Mapa final'!$T$54),"")</f>
        <v/>
      </c>
      <c r="K53" s="63" t="str">
        <f>IF(AND('Mapa final'!$AD$55="Muy Baja",'Mapa final'!$AF$55="Leve"),CONCATENATE("R8C",'Mapa final'!$T$55),"")</f>
        <v/>
      </c>
      <c r="L53" s="63" t="str">
        <f>IF(AND('Mapa final'!$AD$56="Muy Baja",'Mapa final'!$AF$56="Leve"),CONCATENATE("R8C",'Mapa final'!$T$56),"")</f>
        <v/>
      </c>
      <c r="M53" s="63" t="str">
        <f>IF(AND('Mapa final'!$AD$57="Muy Baja",'Mapa final'!$AF$57="Leve"),CONCATENATE("R8C",'Mapa final'!$T$57),"")</f>
        <v/>
      </c>
      <c r="N53" s="63" t="str">
        <f>IF(AND('Mapa final'!$AD$58="Muy Baja",'Mapa final'!$AF$58="Leve"),CONCATENATE("R8C",'Mapa final'!$T$58),"")</f>
        <v/>
      </c>
      <c r="O53" s="64" t="str">
        <f>IF(AND('Mapa final'!$AD$59="Muy Baja",'Mapa final'!$AF$59="Leve"),CONCATENATE("R8C",'Mapa final'!$T$59),"")</f>
        <v/>
      </c>
      <c r="P53" s="62" t="str">
        <f>IF(AND('Mapa final'!$AD$54="Muy Baja",'Mapa final'!$AF$54="Menor"),CONCATENATE("R8C",'Mapa final'!$T$54),"")</f>
        <v/>
      </c>
      <c r="Q53" s="63" t="str">
        <f>IF(AND('Mapa final'!$AD$55="Muy Baja",'Mapa final'!$AF$55="Menor"),CONCATENATE("R8C",'Mapa final'!$T$55),"")</f>
        <v/>
      </c>
      <c r="R53" s="63" t="str">
        <f>IF(AND('Mapa final'!$AD$56="Muy Baja",'Mapa final'!$AF$56="Menor"),CONCATENATE("R8C",'Mapa final'!$T$56),"")</f>
        <v/>
      </c>
      <c r="S53" s="63" t="str">
        <f>IF(AND('Mapa final'!$AD$57="Muy Baja",'Mapa final'!$AF$57="Menor"),CONCATENATE("R8C",'Mapa final'!$T$57),"")</f>
        <v/>
      </c>
      <c r="T53" s="63" t="str">
        <f>IF(AND('Mapa final'!$AD$58="Muy Baja",'Mapa final'!$AF$58="Menor"),CONCATENATE("R8C",'Mapa final'!$T$58),"")</f>
        <v/>
      </c>
      <c r="U53" s="64" t="str">
        <f>IF(AND('Mapa final'!$AD$59="Muy Baja",'Mapa final'!$AF$59="Menor"),CONCATENATE("R8C",'Mapa final'!$T$59),"")</f>
        <v/>
      </c>
      <c r="V53" s="53" t="str">
        <f>IF(AND('Mapa final'!$AD$54="Muy Baja",'Mapa final'!$AF$54="Moderado"),CONCATENATE("R8C",'Mapa final'!$T$54),"")</f>
        <v/>
      </c>
      <c r="W53" s="54" t="str">
        <f>IF(AND('Mapa final'!$AD$55="Muy Baja",'Mapa final'!$AF$55="Moderado"),CONCATENATE("R8C",'Mapa final'!$T$55),"")</f>
        <v/>
      </c>
      <c r="X53" s="54" t="str">
        <f>IF(AND('Mapa final'!$AD$56="Muy Baja",'Mapa final'!$AF$56="Moderado"),CONCATENATE("R8C",'Mapa final'!$T$56),"")</f>
        <v/>
      </c>
      <c r="Y53" s="54" t="str">
        <f>IF(AND('Mapa final'!$AD$57="Muy Baja",'Mapa final'!$AF$57="Moderado"),CONCATENATE("R8C",'Mapa final'!$T$57),"")</f>
        <v/>
      </c>
      <c r="Z53" s="54" t="str">
        <f>IF(AND('Mapa final'!$AD$58="Muy Baja",'Mapa final'!$AF$58="Moderado"),CONCATENATE("R8C",'Mapa final'!$T$58),"")</f>
        <v/>
      </c>
      <c r="AA53" s="55" t="str">
        <f>IF(AND('Mapa final'!$AD$59="Muy Baja",'Mapa final'!$AF$59="Moderado"),CONCATENATE("R8C",'Mapa final'!$T$59),"")</f>
        <v/>
      </c>
      <c r="AB53" s="38" t="str">
        <f>IF(AND('Mapa final'!$AD$54="Muy Baja",'Mapa final'!$AF$54="Mayor"),CONCATENATE("R8C",'Mapa final'!$T$54),"")</f>
        <v/>
      </c>
      <c r="AC53" s="39" t="str">
        <f>IF(AND('Mapa final'!$AD$55="Muy Baja",'Mapa final'!$AF$55="Mayor"),CONCATENATE("R8C",'Mapa final'!$T$55),"")</f>
        <v/>
      </c>
      <c r="AD53" s="39" t="str">
        <f>IF(AND('Mapa final'!$AD$56="Muy Baja",'Mapa final'!$AF$56="Mayor"),CONCATENATE("R8C",'Mapa final'!$T$56),"")</f>
        <v/>
      </c>
      <c r="AE53" s="39" t="str">
        <f>IF(AND('Mapa final'!$AD$57="Muy Baja",'Mapa final'!$AF$57="Mayor"),CONCATENATE("R8C",'Mapa final'!$T$57),"")</f>
        <v/>
      </c>
      <c r="AF53" s="39" t="str">
        <f>IF(AND('Mapa final'!$AD$58="Muy Baja",'Mapa final'!$AF$58="Mayor"),CONCATENATE("R8C",'Mapa final'!$T$58),"")</f>
        <v/>
      </c>
      <c r="AG53" s="40" t="str">
        <f>IF(AND('Mapa final'!$AD$59="Muy Baja",'Mapa final'!$AF$59="Mayor"),CONCATENATE("R8C",'Mapa final'!$T$59),"")</f>
        <v/>
      </c>
      <c r="AH53" s="41" t="str">
        <f>IF(AND('Mapa final'!$AD$54="Muy Baja",'Mapa final'!$AF$54="Catastrófico"),CONCATENATE("R8C",'Mapa final'!$T$54),"")</f>
        <v/>
      </c>
      <c r="AI53" s="42" t="str">
        <f>IF(AND('Mapa final'!$AD$55="Muy Baja",'Mapa final'!$AF$55="Catastrófico"),CONCATENATE("R8C",'Mapa final'!$T$55),"")</f>
        <v/>
      </c>
      <c r="AJ53" s="42" t="str">
        <f>IF(AND('Mapa final'!$AD$56="Muy Baja",'Mapa final'!$AF$56="Catastrófico"),CONCATENATE("R8C",'Mapa final'!$T$56),"")</f>
        <v/>
      </c>
      <c r="AK53" s="42" t="str">
        <f>IF(AND('Mapa final'!$AD$57="Muy Baja",'Mapa final'!$AF$57="Catastrófico"),CONCATENATE("R8C",'Mapa final'!$T$57),"")</f>
        <v/>
      </c>
      <c r="AL53" s="42" t="str">
        <f>IF(AND('Mapa final'!$AD$58="Muy Baja",'Mapa final'!$AF$58="Catastrófico"),CONCATENATE("R8C",'Mapa final'!$T$58),"")</f>
        <v/>
      </c>
      <c r="AM53" s="43" t="str">
        <f>IF(AND('Mapa final'!$AD$59="Muy Baja",'Mapa final'!$AF$59="Catastrófico"),CONCATENATE("R8C",'Mapa final'!$T$59),"")</f>
        <v/>
      </c>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432"/>
      <c r="C54" s="432"/>
      <c r="D54" s="433"/>
      <c r="E54" s="531"/>
      <c r="F54" s="530"/>
      <c r="G54" s="530"/>
      <c r="H54" s="530"/>
      <c r="I54" s="546"/>
      <c r="J54" s="62" t="str">
        <f>IF(AND('Mapa final'!$AD$60="Muy Baja",'Mapa final'!$AF$60="Leve"),CONCATENATE("R9C",'Mapa final'!$T$60),"")</f>
        <v/>
      </c>
      <c r="K54" s="63" t="str">
        <f>IF(AND('Mapa final'!$AD$61="Muy Baja",'Mapa final'!$AF$61="Leve"),CONCATENATE("R9C",'Mapa final'!$T$61),"")</f>
        <v/>
      </c>
      <c r="L54" s="63" t="str">
        <f>IF(AND('Mapa final'!$AD$62="Muy Baja",'Mapa final'!$AF$62="Leve"),CONCATENATE("R9C",'Mapa final'!$T$62),"")</f>
        <v/>
      </c>
      <c r="M54" s="63" t="str">
        <f>IF(AND('Mapa final'!$AD$63="Muy Baja",'Mapa final'!$AF$63="Leve"),CONCATENATE("R9C",'Mapa final'!$T$63),"")</f>
        <v/>
      </c>
      <c r="N54" s="63" t="str">
        <f>IF(AND('Mapa final'!$AD$64="Muy Baja",'Mapa final'!$AF$64="Leve"),CONCATENATE("R9C",'Mapa final'!$T$64),"")</f>
        <v/>
      </c>
      <c r="O54" s="64" t="str">
        <f>IF(AND('Mapa final'!$AD$65="Muy Baja",'Mapa final'!$AF$65="Leve"),CONCATENATE("R9C",'Mapa final'!$T$65),"")</f>
        <v/>
      </c>
      <c r="P54" s="62" t="str">
        <f>IF(AND('Mapa final'!$AD$60="Muy Baja",'Mapa final'!$AF$60="Menor"),CONCATENATE("R9C",'Mapa final'!$T$60),"")</f>
        <v/>
      </c>
      <c r="Q54" s="63" t="str">
        <f>IF(AND('Mapa final'!$AD$61="Muy Baja",'Mapa final'!$AF$61="Menor"),CONCATENATE("R9C",'Mapa final'!$T$61),"")</f>
        <v/>
      </c>
      <c r="R54" s="63" t="str">
        <f>IF(AND('Mapa final'!$AD$62="Muy Baja",'Mapa final'!$AF$62="Menor"),CONCATENATE("R9C",'Mapa final'!$T$62),"")</f>
        <v/>
      </c>
      <c r="S54" s="63" t="str">
        <f>IF(AND('Mapa final'!$AD$63="Muy Baja",'Mapa final'!$AF$63="Menor"),CONCATENATE("R9C",'Mapa final'!$T$63),"")</f>
        <v/>
      </c>
      <c r="T54" s="63" t="str">
        <f>IF(AND('Mapa final'!$AD$64="Muy Baja",'Mapa final'!$AF$64="Menor"),CONCATENATE("R9C",'Mapa final'!$T$64),"")</f>
        <v/>
      </c>
      <c r="U54" s="64" t="str">
        <f>IF(AND('Mapa final'!$AD$65="Muy Baja",'Mapa final'!$AF$65="Menor"),CONCATENATE("R9C",'Mapa final'!$T$65),"")</f>
        <v/>
      </c>
      <c r="V54" s="53" t="str">
        <f>IF(AND('Mapa final'!$AD$60="Muy Baja",'Mapa final'!$AF$60="Moderado"),CONCATENATE("R9C",'Mapa final'!$T$60),"")</f>
        <v/>
      </c>
      <c r="W54" s="54" t="str">
        <f>IF(AND('Mapa final'!$AD$61="Muy Baja",'Mapa final'!$AF$61="Moderado"),CONCATENATE("R9C",'Mapa final'!$T$61),"")</f>
        <v/>
      </c>
      <c r="X54" s="54" t="str">
        <f>IF(AND('Mapa final'!$AD$62="Muy Baja",'Mapa final'!$AF$62="Moderado"),CONCATENATE("R9C",'Mapa final'!$T$62),"")</f>
        <v/>
      </c>
      <c r="Y54" s="54" t="str">
        <f>IF(AND('Mapa final'!$AD$63="Muy Baja",'Mapa final'!$AF$63="Moderado"),CONCATENATE("R9C",'Mapa final'!$T$63),"")</f>
        <v/>
      </c>
      <c r="Z54" s="54" t="str">
        <f>IF(AND('Mapa final'!$AD$64="Muy Baja",'Mapa final'!$AF$64="Moderado"),CONCATENATE("R9C",'Mapa final'!$T$64),"")</f>
        <v/>
      </c>
      <c r="AA54" s="55" t="str">
        <f>IF(AND('Mapa final'!$AD$65="Muy Baja",'Mapa final'!$AF$65="Moderado"),CONCATENATE("R9C",'Mapa final'!$T$65),"")</f>
        <v/>
      </c>
      <c r="AB54" s="38" t="str">
        <f>IF(AND('Mapa final'!$AD$60="Muy Baja",'Mapa final'!$AF$60="Mayor"),CONCATENATE("R9C",'Mapa final'!$T$60),"")</f>
        <v/>
      </c>
      <c r="AC54" s="39" t="str">
        <f>IF(AND('Mapa final'!$AD$61="Muy Baja",'Mapa final'!$AF$61="Mayor"),CONCATENATE("R9C",'Mapa final'!$T$61),"")</f>
        <v/>
      </c>
      <c r="AD54" s="39" t="str">
        <f>IF(AND('Mapa final'!$AD$62="Muy Baja",'Mapa final'!$AF$62="Mayor"),CONCATENATE("R9C",'Mapa final'!$T$62),"")</f>
        <v/>
      </c>
      <c r="AE54" s="39" t="str">
        <f>IF(AND('Mapa final'!$AD$63="Muy Baja",'Mapa final'!$AF$63="Mayor"),CONCATENATE("R9C",'Mapa final'!$T$63),"")</f>
        <v/>
      </c>
      <c r="AF54" s="39" t="str">
        <f>IF(AND('Mapa final'!$AD$64="Muy Baja",'Mapa final'!$AF$64="Mayor"),CONCATENATE("R9C",'Mapa final'!$T$64),"")</f>
        <v/>
      </c>
      <c r="AG54" s="40" t="str">
        <f>IF(AND('Mapa final'!$AD$65="Muy Baja",'Mapa final'!$AF$65="Mayor"),CONCATENATE("R9C",'Mapa final'!$T$65),"")</f>
        <v/>
      </c>
      <c r="AH54" s="41" t="str">
        <f>IF(AND('Mapa final'!$AD$60="Muy Baja",'Mapa final'!$AF$60="Catastrófico"),CONCATENATE("R9C",'Mapa final'!$T$60),"")</f>
        <v>R9C1</v>
      </c>
      <c r="AI54" s="42" t="str">
        <f>IF(AND('Mapa final'!$AD$61="Muy Baja",'Mapa final'!$AF$61="Catastrófico"),CONCATENATE("R9C",'Mapa final'!$T$61),"")</f>
        <v>R9C2</v>
      </c>
      <c r="AJ54" s="42" t="str">
        <f>IF(AND('Mapa final'!$AD$62="Muy Baja",'Mapa final'!$AF$62="Catastrófico"),CONCATENATE("R9C",'Mapa final'!$T$62),"")</f>
        <v/>
      </c>
      <c r="AK54" s="42" t="str">
        <f>IF(AND('Mapa final'!$AD$63="Muy Baja",'Mapa final'!$AF$63="Catastrófico"),CONCATENATE("R9C",'Mapa final'!$T$63),"")</f>
        <v/>
      </c>
      <c r="AL54" s="42" t="str">
        <f>IF(AND('Mapa final'!$AD$64="Muy Baja",'Mapa final'!$AF$64="Catastrófico"),CONCATENATE("R9C",'Mapa final'!$T$64),"")</f>
        <v/>
      </c>
      <c r="AM54" s="43" t="str">
        <f>IF(AND('Mapa final'!$AD$65="Muy Baja",'Mapa final'!$AF$65="Catastrófico"),CONCATENATE("R9C",'Mapa final'!$T$65),"")</f>
        <v/>
      </c>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ht="15.75" customHeight="1" thickBot="1" x14ac:dyDescent="0.3">
      <c r="A55" s="69"/>
      <c r="B55" s="432"/>
      <c r="C55" s="432"/>
      <c r="D55" s="433"/>
      <c r="E55" s="532"/>
      <c r="F55" s="533"/>
      <c r="G55" s="533"/>
      <c r="H55" s="533"/>
      <c r="I55" s="547"/>
      <c r="J55" s="65" t="str">
        <f>IF(AND('Mapa final'!$AD$66="Muy Baja",'Mapa final'!$AF$66="Leve"),CONCATENATE("R10C",'Mapa final'!$T$66),"")</f>
        <v/>
      </c>
      <c r="K55" s="66" t="str">
        <f>IF(AND('Mapa final'!$AD$67="Muy Baja",'Mapa final'!$AF$67="Leve"),CONCATENATE("R10C",'Mapa final'!$T$67),"")</f>
        <v/>
      </c>
      <c r="L55" s="66" t="str">
        <f>IF(AND('Mapa final'!$AD$68="Muy Baja",'Mapa final'!$AF$68="Leve"),CONCATENATE("R10C",'Mapa final'!$T$68),"")</f>
        <v/>
      </c>
      <c r="M55" s="66" t="str">
        <f>IF(AND('Mapa final'!$AD$69="Muy Baja",'Mapa final'!$AF$69="Leve"),CONCATENATE("R10C",'Mapa final'!$T$69),"")</f>
        <v/>
      </c>
      <c r="N55" s="66" t="str">
        <f>IF(AND('Mapa final'!$AD$70="Muy Baja",'Mapa final'!$AF$70="Leve"),CONCATENATE("R10C",'Mapa final'!$T$70),"")</f>
        <v/>
      </c>
      <c r="O55" s="67" t="str">
        <f>IF(AND('Mapa final'!$AD$71="Muy Baja",'Mapa final'!$AF$71="Leve"),CONCATENATE("R10C",'Mapa final'!$T$71),"")</f>
        <v/>
      </c>
      <c r="P55" s="65" t="str">
        <f>IF(AND('Mapa final'!$AD$66="Muy Baja",'Mapa final'!$AF$66="Menor"),CONCATENATE("R10C",'Mapa final'!$T$66),"")</f>
        <v/>
      </c>
      <c r="Q55" s="66" t="str">
        <f>IF(AND('Mapa final'!$AD$67="Muy Baja",'Mapa final'!$AF$67="Menor"),CONCATENATE("R10C",'Mapa final'!$T$67),"")</f>
        <v/>
      </c>
      <c r="R55" s="66" t="str">
        <f>IF(AND('Mapa final'!$AD$68="Muy Baja",'Mapa final'!$AF$68="Menor"),CONCATENATE("R10C",'Mapa final'!$T$68),"")</f>
        <v/>
      </c>
      <c r="S55" s="66" t="str">
        <f>IF(AND('Mapa final'!$AD$69="Muy Baja",'Mapa final'!$AF$69="Menor"),CONCATENATE("R10C",'Mapa final'!$T$69),"")</f>
        <v/>
      </c>
      <c r="T55" s="66" t="str">
        <f>IF(AND('Mapa final'!$AD$70="Muy Baja",'Mapa final'!$AF$70="Menor"),CONCATENATE("R10C",'Mapa final'!$T$70),"")</f>
        <v/>
      </c>
      <c r="U55" s="67" t="str">
        <f>IF(AND('Mapa final'!$AD$71="Muy Baja",'Mapa final'!$AF$71="Menor"),CONCATENATE("R10C",'Mapa final'!$T$71),"")</f>
        <v/>
      </c>
      <c r="V55" s="56" t="str">
        <f>IF(AND('Mapa final'!$AD$66="Muy Baja",'Mapa final'!$AF$66="Moderado"),CONCATENATE("R10C",'Mapa final'!$T$66),"")</f>
        <v/>
      </c>
      <c r="W55" s="57" t="str">
        <f>IF(AND('Mapa final'!$AD$67="Muy Baja",'Mapa final'!$AF$67="Moderado"),CONCATENATE("R10C",'Mapa final'!$T$67),"")</f>
        <v/>
      </c>
      <c r="X55" s="57" t="str">
        <f>IF(AND('Mapa final'!$AD$68="Muy Baja",'Mapa final'!$AF$68="Moderado"),CONCATENATE("R10C",'Mapa final'!$T$68),"")</f>
        <v/>
      </c>
      <c r="Y55" s="57" t="str">
        <f>IF(AND('Mapa final'!$AD$69="Muy Baja",'Mapa final'!$AF$69="Moderado"),CONCATENATE("R10C",'Mapa final'!$T$69),"")</f>
        <v/>
      </c>
      <c r="Z55" s="57" t="str">
        <f>IF(AND('Mapa final'!$AD$70="Muy Baja",'Mapa final'!$AF$70="Moderado"),CONCATENATE("R10C",'Mapa final'!$T$70),"")</f>
        <v/>
      </c>
      <c r="AA55" s="58" t="str">
        <f>IF(AND('Mapa final'!$AD$71="Muy Baja",'Mapa final'!$AF$71="Moderado"),CONCATENATE("R10C",'Mapa final'!$T$71),"")</f>
        <v/>
      </c>
      <c r="AB55" s="44" t="str">
        <f>IF(AND('Mapa final'!$AD$66="Muy Baja",'Mapa final'!$AF$66="Mayor"),CONCATENATE("R10C",'Mapa final'!$T$66),"")</f>
        <v/>
      </c>
      <c r="AC55" s="45" t="str">
        <f>IF(AND('Mapa final'!$AD$67="Muy Baja",'Mapa final'!$AF$67="Mayor"),CONCATENATE("R10C",'Mapa final'!$T$67),"")</f>
        <v/>
      </c>
      <c r="AD55" s="45" t="str">
        <f>IF(AND('Mapa final'!$AD$68="Muy Baja",'Mapa final'!$AF$68="Mayor"),CONCATENATE("R10C",'Mapa final'!$T$68),"")</f>
        <v/>
      </c>
      <c r="AE55" s="45" t="str">
        <f>IF(AND('Mapa final'!$AD$69="Muy Baja",'Mapa final'!$AF$69="Mayor"),CONCATENATE("R10C",'Mapa final'!$T$69),"")</f>
        <v/>
      </c>
      <c r="AF55" s="45" t="str">
        <f>IF(AND('Mapa final'!$AD$70="Muy Baja",'Mapa final'!$AF$70="Mayor"),CONCATENATE("R10C",'Mapa final'!$T$70),"")</f>
        <v/>
      </c>
      <c r="AG55" s="46" t="str">
        <f>IF(AND('Mapa final'!$AD$71="Muy Baja",'Mapa final'!$AF$71="Mayor"),CONCATENATE("R10C",'Mapa final'!$T$71),"")</f>
        <v/>
      </c>
      <c r="AH55" s="47" t="str">
        <f>IF(AND('Mapa final'!$AD$66="Muy Baja",'Mapa final'!$AF$66="Catastrófico"),CONCATENATE("R10C",'Mapa final'!$T$66),"")</f>
        <v/>
      </c>
      <c r="AI55" s="48" t="str">
        <f>IF(AND('Mapa final'!$AD$67="Muy Baja",'Mapa final'!$AF$67="Catastrófico"),CONCATENATE("R10C",'Mapa final'!$T$67),"")</f>
        <v/>
      </c>
      <c r="AJ55" s="48" t="str">
        <f>IF(AND('Mapa final'!$AD$68="Muy Baja",'Mapa final'!$AF$68="Catastrófico"),CONCATENATE("R10C",'Mapa final'!$T$68),"")</f>
        <v/>
      </c>
      <c r="AK55" s="48" t="str">
        <f>IF(AND('Mapa final'!$AD$69="Muy Baja",'Mapa final'!$AF$69="Catastrófico"),CONCATENATE("R10C",'Mapa final'!$T$69),"")</f>
        <v/>
      </c>
      <c r="AL55" s="48" t="str">
        <f>IF(AND('Mapa final'!$AD$70="Muy Baja",'Mapa final'!$AF$70="Catastrófico"),CONCATENATE("R10C",'Mapa final'!$T$70),"")</f>
        <v/>
      </c>
      <c r="AM55" s="49" t="str">
        <f>IF(AND('Mapa final'!$AD$71="Muy Baja",'Mapa final'!$AF$71="Catastrófico"),CONCATENATE("R10C",'Mapa final'!$T$71),"")</f>
        <v/>
      </c>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527" t="s">
        <v>112</v>
      </c>
      <c r="K56" s="528"/>
      <c r="L56" s="528"/>
      <c r="M56" s="528"/>
      <c r="N56" s="528"/>
      <c r="O56" s="545"/>
      <c r="P56" s="527" t="s">
        <v>111</v>
      </c>
      <c r="Q56" s="528"/>
      <c r="R56" s="528"/>
      <c r="S56" s="528"/>
      <c r="T56" s="528"/>
      <c r="U56" s="545"/>
      <c r="V56" s="527" t="s">
        <v>110</v>
      </c>
      <c r="W56" s="528"/>
      <c r="X56" s="528"/>
      <c r="Y56" s="528"/>
      <c r="Z56" s="528"/>
      <c r="AA56" s="545"/>
      <c r="AB56" s="527" t="s">
        <v>109</v>
      </c>
      <c r="AC56" s="566"/>
      <c r="AD56" s="528"/>
      <c r="AE56" s="528"/>
      <c r="AF56" s="528"/>
      <c r="AG56" s="545"/>
      <c r="AH56" s="527" t="s">
        <v>108</v>
      </c>
      <c r="AI56" s="528"/>
      <c r="AJ56" s="528"/>
      <c r="AK56" s="528"/>
      <c r="AL56" s="528"/>
      <c r="AM56" s="545"/>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531"/>
      <c r="K57" s="530"/>
      <c r="L57" s="530"/>
      <c r="M57" s="530"/>
      <c r="N57" s="530"/>
      <c r="O57" s="546"/>
      <c r="P57" s="531"/>
      <c r="Q57" s="530"/>
      <c r="R57" s="530"/>
      <c r="S57" s="530"/>
      <c r="T57" s="530"/>
      <c r="U57" s="546"/>
      <c r="V57" s="531"/>
      <c r="W57" s="530"/>
      <c r="X57" s="530"/>
      <c r="Y57" s="530"/>
      <c r="Z57" s="530"/>
      <c r="AA57" s="546"/>
      <c r="AB57" s="531"/>
      <c r="AC57" s="530"/>
      <c r="AD57" s="530"/>
      <c r="AE57" s="530"/>
      <c r="AF57" s="530"/>
      <c r="AG57" s="546"/>
      <c r="AH57" s="531"/>
      <c r="AI57" s="530"/>
      <c r="AJ57" s="530"/>
      <c r="AK57" s="530"/>
      <c r="AL57" s="530"/>
      <c r="AM57" s="546"/>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531"/>
      <c r="K58" s="530"/>
      <c r="L58" s="530"/>
      <c r="M58" s="530"/>
      <c r="N58" s="530"/>
      <c r="O58" s="546"/>
      <c r="P58" s="531"/>
      <c r="Q58" s="530"/>
      <c r="R58" s="530"/>
      <c r="S58" s="530"/>
      <c r="T58" s="530"/>
      <c r="U58" s="546"/>
      <c r="V58" s="531"/>
      <c r="W58" s="530"/>
      <c r="X58" s="530"/>
      <c r="Y58" s="530"/>
      <c r="Z58" s="530"/>
      <c r="AA58" s="546"/>
      <c r="AB58" s="531"/>
      <c r="AC58" s="530"/>
      <c r="AD58" s="530"/>
      <c r="AE58" s="530"/>
      <c r="AF58" s="530"/>
      <c r="AG58" s="546"/>
      <c r="AH58" s="531"/>
      <c r="AI58" s="530"/>
      <c r="AJ58" s="530"/>
      <c r="AK58" s="530"/>
      <c r="AL58" s="530"/>
      <c r="AM58" s="546"/>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531"/>
      <c r="K59" s="530"/>
      <c r="L59" s="530"/>
      <c r="M59" s="530"/>
      <c r="N59" s="530"/>
      <c r="O59" s="546"/>
      <c r="P59" s="531"/>
      <c r="Q59" s="530"/>
      <c r="R59" s="530"/>
      <c r="S59" s="530"/>
      <c r="T59" s="530"/>
      <c r="U59" s="546"/>
      <c r="V59" s="531"/>
      <c r="W59" s="530"/>
      <c r="X59" s="530"/>
      <c r="Y59" s="530"/>
      <c r="Z59" s="530"/>
      <c r="AA59" s="546"/>
      <c r="AB59" s="531"/>
      <c r="AC59" s="530"/>
      <c r="AD59" s="530"/>
      <c r="AE59" s="530"/>
      <c r="AF59" s="530"/>
      <c r="AG59" s="546"/>
      <c r="AH59" s="531"/>
      <c r="AI59" s="530"/>
      <c r="AJ59" s="530"/>
      <c r="AK59" s="530"/>
      <c r="AL59" s="530"/>
      <c r="AM59" s="546"/>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531"/>
      <c r="K60" s="530"/>
      <c r="L60" s="530"/>
      <c r="M60" s="530"/>
      <c r="N60" s="530"/>
      <c r="O60" s="546"/>
      <c r="P60" s="531"/>
      <c r="Q60" s="530"/>
      <c r="R60" s="530"/>
      <c r="S60" s="530"/>
      <c r="T60" s="530"/>
      <c r="U60" s="546"/>
      <c r="V60" s="531"/>
      <c r="W60" s="530"/>
      <c r="X60" s="530"/>
      <c r="Y60" s="530"/>
      <c r="Z60" s="530"/>
      <c r="AA60" s="546"/>
      <c r="AB60" s="531"/>
      <c r="AC60" s="530"/>
      <c r="AD60" s="530"/>
      <c r="AE60" s="530"/>
      <c r="AF60" s="530"/>
      <c r="AG60" s="546"/>
      <c r="AH60" s="531"/>
      <c r="AI60" s="530"/>
      <c r="AJ60" s="530"/>
      <c r="AK60" s="530"/>
      <c r="AL60" s="530"/>
      <c r="AM60" s="546"/>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ht="15.75" thickBot="1" x14ac:dyDescent="0.3">
      <c r="A61" s="69"/>
      <c r="B61" s="69"/>
      <c r="C61" s="69"/>
      <c r="D61" s="69"/>
      <c r="E61" s="69"/>
      <c r="F61" s="69"/>
      <c r="G61" s="69"/>
      <c r="H61" s="69"/>
      <c r="I61" s="69"/>
      <c r="J61" s="532"/>
      <c r="K61" s="533"/>
      <c r="L61" s="533"/>
      <c r="M61" s="533"/>
      <c r="N61" s="533"/>
      <c r="O61" s="547"/>
      <c r="P61" s="532"/>
      <c r="Q61" s="533"/>
      <c r="R61" s="533"/>
      <c r="S61" s="533"/>
      <c r="T61" s="533"/>
      <c r="U61" s="547"/>
      <c r="V61" s="532"/>
      <c r="W61" s="533"/>
      <c r="X61" s="533"/>
      <c r="Y61" s="533"/>
      <c r="Z61" s="533"/>
      <c r="AA61" s="547"/>
      <c r="AB61" s="532"/>
      <c r="AC61" s="533"/>
      <c r="AD61" s="533"/>
      <c r="AE61" s="533"/>
      <c r="AF61" s="533"/>
      <c r="AG61" s="547"/>
      <c r="AH61" s="532"/>
      <c r="AI61" s="533"/>
      <c r="AJ61" s="533"/>
      <c r="AK61" s="533"/>
      <c r="AL61" s="533"/>
      <c r="AM61" s="547"/>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row>
    <row r="63" spans="1:80" ht="15" customHeight="1" x14ac:dyDescent="0.25">
      <c r="A63" s="69"/>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69"/>
      <c r="AV63" s="69"/>
      <c r="AW63" s="69"/>
      <c r="AX63" s="69"/>
      <c r="AY63" s="69"/>
      <c r="AZ63" s="69"/>
      <c r="BA63" s="69"/>
      <c r="BB63" s="69"/>
      <c r="BC63" s="69"/>
      <c r="BD63" s="69"/>
      <c r="BE63" s="69"/>
      <c r="BF63" s="69"/>
      <c r="BG63" s="69"/>
      <c r="BH63" s="69"/>
    </row>
    <row r="64" spans="1:80" ht="15" customHeight="1" x14ac:dyDescent="0.25">
      <c r="A64" s="69"/>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69"/>
      <c r="AV64" s="69"/>
      <c r="AW64" s="69"/>
      <c r="AX64" s="69"/>
      <c r="AY64" s="69"/>
      <c r="AZ64" s="69"/>
      <c r="BA64" s="69"/>
      <c r="BB64" s="69"/>
      <c r="BC64" s="69"/>
      <c r="BD64" s="69"/>
      <c r="BE64" s="69"/>
      <c r="BF64" s="69"/>
      <c r="BG64" s="69"/>
      <c r="BH64" s="69"/>
    </row>
    <row r="65" spans="1:6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row>
    <row r="66" spans="1:6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row>
    <row r="67" spans="1:6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row>
    <row r="68" spans="1:6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row>
    <row r="69" spans="1:6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row>
    <row r="70" spans="1:6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row>
    <row r="71" spans="1:6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row>
    <row r="72" spans="1:6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row>
    <row r="73" spans="1:6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row>
    <row r="74" spans="1:6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row>
    <row r="75" spans="1:6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row>
    <row r="76" spans="1:6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row>
    <row r="77" spans="1:6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row>
    <row r="78" spans="1:6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row>
    <row r="79" spans="1:6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row>
    <row r="80" spans="1:6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row>
    <row r="81" spans="1:60"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row>
    <row r="82" spans="1:60"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row>
    <row r="83" spans="1:60"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row>
    <row r="84" spans="1:60"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row>
    <row r="85" spans="1:60"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row>
    <row r="86" spans="1:60"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row>
    <row r="87" spans="1:60"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row>
    <row r="88" spans="1:60"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row>
    <row r="89" spans="1:60"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row>
    <row r="90" spans="1:60"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row>
    <row r="91" spans="1:60"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row>
    <row r="92" spans="1:60"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row>
    <row r="93" spans="1:60"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row>
    <row r="94" spans="1:60"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row>
    <row r="95" spans="1:60"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row>
    <row r="96" spans="1:60"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row>
    <row r="97" spans="1:60"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row>
    <row r="98" spans="1:60"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row>
    <row r="99" spans="1:60"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row>
    <row r="100" spans="1:60"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row>
    <row r="101" spans="1:60"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row>
    <row r="102" spans="1:60"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row>
    <row r="103" spans="1:60"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row>
    <row r="104" spans="1:60"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row>
    <row r="105" spans="1:60"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row>
    <row r="106" spans="1:60"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row>
    <row r="107" spans="1:60"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row>
    <row r="108" spans="1:60"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row>
    <row r="109" spans="1:60"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row>
    <row r="110" spans="1:60"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row>
    <row r="111" spans="1:60"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row>
    <row r="112" spans="1:60"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row>
    <row r="113" spans="1:60"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row>
    <row r="114" spans="1:60"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row>
    <row r="115" spans="1:60"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row>
    <row r="116" spans="1:60"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row>
    <row r="117" spans="1:60"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row>
    <row r="118" spans="1:60"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row>
    <row r="119" spans="1:60"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row>
    <row r="120" spans="1:60"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row>
    <row r="121" spans="1:60"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row>
    <row r="122" spans="1:60" x14ac:dyDescent="0.25">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row>
    <row r="123" spans="1:60" x14ac:dyDescent="0.25">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row>
    <row r="124" spans="1:60" x14ac:dyDescent="0.25">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row>
    <row r="125" spans="1:60" x14ac:dyDescent="0.25">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row>
    <row r="126" spans="1:60" x14ac:dyDescent="0.25">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row>
    <row r="127" spans="1:60" x14ac:dyDescent="0.25">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row>
    <row r="128" spans="1:60" x14ac:dyDescent="0.25">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row>
    <row r="129" spans="1:60" x14ac:dyDescent="0.25">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row>
    <row r="130" spans="1:60" x14ac:dyDescent="0.25">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row>
    <row r="131" spans="1:60" x14ac:dyDescent="0.25">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row>
    <row r="132" spans="1:60" x14ac:dyDescent="0.25">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row>
    <row r="133" spans="1:60" x14ac:dyDescent="0.25">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row>
    <row r="134" spans="1:60" x14ac:dyDescent="0.25">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row>
    <row r="135" spans="1:60" x14ac:dyDescent="0.25">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row>
    <row r="136" spans="1:60" x14ac:dyDescent="0.25">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row>
    <row r="137" spans="1:60" x14ac:dyDescent="0.25">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row>
    <row r="138" spans="1:60" x14ac:dyDescent="0.25">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c r="AX138" s="69"/>
      <c r="AY138" s="69"/>
      <c r="AZ138" s="69"/>
      <c r="BA138" s="69"/>
      <c r="BB138" s="69"/>
      <c r="BC138" s="69"/>
      <c r="BD138" s="69"/>
      <c r="BE138" s="69"/>
      <c r="BF138" s="69"/>
      <c r="BG138" s="69"/>
      <c r="BH138" s="69"/>
    </row>
    <row r="139" spans="1:60" x14ac:dyDescent="0.25">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row>
    <row r="140" spans="1:60" x14ac:dyDescent="0.25">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c r="BH140" s="69"/>
    </row>
    <row r="141" spans="1:60" x14ac:dyDescent="0.25">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c r="BH141" s="69"/>
    </row>
    <row r="142" spans="1:60" x14ac:dyDescent="0.25">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c r="BH142" s="69"/>
    </row>
    <row r="143" spans="1:60" x14ac:dyDescent="0.25">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c r="AX143" s="69"/>
      <c r="AY143" s="69"/>
      <c r="AZ143" s="69"/>
      <c r="BA143" s="69"/>
      <c r="BB143" s="69"/>
      <c r="BC143" s="69"/>
      <c r="BD143" s="69"/>
      <c r="BE143" s="69"/>
      <c r="BF143" s="69"/>
      <c r="BG143" s="69"/>
      <c r="BH143" s="69"/>
    </row>
    <row r="144" spans="1:60" x14ac:dyDescent="0.25">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row>
    <row r="145" spans="1:60" x14ac:dyDescent="0.25">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row>
    <row r="146" spans="1:60" x14ac:dyDescent="0.25">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c r="AX146" s="69"/>
      <c r="AY146" s="69"/>
      <c r="AZ146" s="69"/>
      <c r="BA146" s="69"/>
      <c r="BB146" s="69"/>
      <c r="BC146" s="69"/>
      <c r="BD146" s="69"/>
      <c r="BE146" s="69"/>
      <c r="BF146" s="69"/>
      <c r="BG146" s="69"/>
      <c r="BH146" s="69"/>
    </row>
    <row r="147" spans="1:60" x14ac:dyDescent="0.25">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row>
    <row r="148" spans="1:60" x14ac:dyDescent="0.25">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row>
    <row r="149" spans="1:60" x14ac:dyDescent="0.25">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row>
    <row r="150" spans="1:60" x14ac:dyDescent="0.25">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row>
    <row r="151" spans="1:60" x14ac:dyDescent="0.25">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row>
    <row r="152" spans="1:60" x14ac:dyDescent="0.25">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row>
    <row r="153" spans="1:60" x14ac:dyDescent="0.25">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row>
    <row r="154" spans="1:60" x14ac:dyDescent="0.25">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row>
    <row r="155" spans="1:60" x14ac:dyDescent="0.25">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69"/>
      <c r="BH155" s="69"/>
    </row>
    <row r="156" spans="1:60" x14ac:dyDescent="0.25">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row>
    <row r="157" spans="1:60" x14ac:dyDescent="0.25">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row>
    <row r="158" spans="1:60" x14ac:dyDescent="0.25">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c r="AX158" s="69"/>
      <c r="AY158" s="69"/>
      <c r="AZ158" s="69"/>
      <c r="BA158" s="69"/>
      <c r="BB158" s="69"/>
      <c r="BC158" s="69"/>
      <c r="BD158" s="69"/>
      <c r="BE158" s="69"/>
      <c r="BF158" s="69"/>
      <c r="BG158" s="69"/>
      <c r="BH158" s="69"/>
    </row>
    <row r="159" spans="1:60" x14ac:dyDescent="0.25">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row>
    <row r="160" spans="1:60" x14ac:dyDescent="0.25">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row>
    <row r="161" spans="1:60" x14ac:dyDescent="0.25">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row>
    <row r="162" spans="1:60" x14ac:dyDescent="0.25">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row>
    <row r="163" spans="1:60" x14ac:dyDescent="0.25">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c r="BF163" s="69"/>
      <c r="BG163" s="69"/>
      <c r="BH163" s="69"/>
    </row>
    <row r="164" spans="1:60" x14ac:dyDescent="0.25">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row>
    <row r="165" spans="1:60" x14ac:dyDescent="0.25">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AZ165" s="69"/>
      <c r="BA165" s="69"/>
      <c r="BB165" s="69"/>
      <c r="BC165" s="69"/>
      <c r="BD165" s="69"/>
      <c r="BE165" s="69"/>
      <c r="BF165" s="69"/>
      <c r="BG165" s="69"/>
      <c r="BH165" s="69"/>
    </row>
    <row r="166" spans="1:60" x14ac:dyDescent="0.25">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c r="AX166" s="69"/>
      <c r="AY166" s="69"/>
      <c r="AZ166" s="69"/>
      <c r="BA166" s="69"/>
      <c r="BB166" s="69"/>
      <c r="BC166" s="69"/>
      <c r="BD166" s="69"/>
      <c r="BE166" s="69"/>
      <c r="BF166" s="69"/>
      <c r="BG166" s="69"/>
      <c r="BH166" s="69"/>
    </row>
    <row r="167" spans="1:60" x14ac:dyDescent="0.25">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c r="BF167" s="69"/>
      <c r="BG167" s="69"/>
      <c r="BH167" s="69"/>
    </row>
    <row r="168" spans="1:60" x14ac:dyDescent="0.25">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c r="AX168" s="69"/>
      <c r="AY168" s="69"/>
      <c r="AZ168" s="69"/>
      <c r="BA168" s="69"/>
      <c r="BB168" s="69"/>
      <c r="BC168" s="69"/>
      <c r="BD168" s="69"/>
      <c r="BE168" s="69"/>
      <c r="BF168" s="69"/>
      <c r="BG168" s="69"/>
      <c r="BH168" s="69"/>
    </row>
    <row r="169" spans="1:60" x14ac:dyDescent="0.25">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c r="AX169" s="69"/>
      <c r="AY169" s="69"/>
      <c r="AZ169" s="69"/>
      <c r="BA169" s="69"/>
      <c r="BB169" s="69"/>
      <c r="BC169" s="69"/>
      <c r="BD169" s="69"/>
      <c r="BE169" s="69"/>
      <c r="BF169" s="69"/>
      <c r="BG169" s="69"/>
      <c r="BH169" s="69"/>
    </row>
    <row r="170" spans="1:60" x14ac:dyDescent="0.25">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c r="AN170" s="69"/>
      <c r="AO170" s="69"/>
      <c r="AP170" s="69"/>
      <c r="AQ170" s="69"/>
      <c r="AR170" s="69"/>
      <c r="AS170" s="69"/>
      <c r="AT170" s="69"/>
      <c r="AU170" s="69"/>
      <c r="AV170" s="69"/>
      <c r="AW170" s="69"/>
      <c r="AX170" s="69"/>
      <c r="AY170" s="69"/>
      <c r="AZ170" s="69"/>
      <c r="BA170" s="69"/>
      <c r="BB170" s="69"/>
      <c r="BC170" s="69"/>
      <c r="BD170" s="69"/>
      <c r="BE170" s="69"/>
      <c r="BF170" s="69"/>
      <c r="BG170" s="69"/>
      <c r="BH170" s="69"/>
    </row>
    <row r="171" spans="1:60" x14ac:dyDescent="0.25">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c r="AX171" s="69"/>
      <c r="AY171" s="69"/>
      <c r="AZ171" s="69"/>
      <c r="BA171" s="69"/>
      <c r="BB171" s="69"/>
      <c r="BC171" s="69"/>
      <c r="BD171" s="69"/>
      <c r="BE171" s="69"/>
      <c r="BF171" s="69"/>
      <c r="BG171" s="69"/>
      <c r="BH171" s="69"/>
    </row>
    <row r="172" spans="1:60" x14ac:dyDescent="0.25">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69"/>
    </row>
    <row r="173" spans="1:60" x14ac:dyDescent="0.25">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row>
    <row r="174" spans="1:60" x14ac:dyDescent="0.25">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row>
    <row r="175" spans="1:60" x14ac:dyDescent="0.25">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row>
    <row r="176" spans="1:60" x14ac:dyDescent="0.25">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row>
    <row r="177" spans="1:60" x14ac:dyDescent="0.25">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row>
    <row r="178" spans="1:60" x14ac:dyDescent="0.25">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row>
    <row r="179" spans="1:60" x14ac:dyDescent="0.25">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row>
    <row r="180" spans="1:60" x14ac:dyDescent="0.25">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row>
    <row r="181" spans="1:60" x14ac:dyDescent="0.25">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row>
    <row r="182" spans="1:60" x14ac:dyDescent="0.25">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row>
    <row r="183" spans="1:60" x14ac:dyDescent="0.25">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row>
    <row r="184" spans="1:60" x14ac:dyDescent="0.25">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row>
    <row r="185" spans="1:60" x14ac:dyDescent="0.25">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row>
    <row r="186" spans="1:60" x14ac:dyDescent="0.25">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row>
    <row r="187" spans="1:60" x14ac:dyDescent="0.25">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row>
    <row r="188" spans="1:60" x14ac:dyDescent="0.25">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row>
    <row r="189" spans="1:60" x14ac:dyDescent="0.25">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row>
    <row r="190" spans="1:60" x14ac:dyDescent="0.25">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row>
    <row r="191" spans="1:60" x14ac:dyDescent="0.25">
      <c r="A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row>
    <row r="192" spans="1:60" x14ac:dyDescent="0.25">
      <c r="A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row>
    <row r="193" spans="1:60" x14ac:dyDescent="0.25">
      <c r="A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row>
    <row r="194" spans="1:60" x14ac:dyDescent="0.25">
      <c r="A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row>
    <row r="195" spans="1:60" x14ac:dyDescent="0.25">
      <c r="A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row>
    <row r="196" spans="1:60" x14ac:dyDescent="0.25">
      <c r="A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row>
    <row r="197" spans="1:60" x14ac:dyDescent="0.25">
      <c r="A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row>
    <row r="198" spans="1:60" x14ac:dyDescent="0.25">
      <c r="A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row>
    <row r="199" spans="1:60" x14ac:dyDescent="0.25">
      <c r="A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row>
    <row r="200" spans="1:60" x14ac:dyDescent="0.25">
      <c r="A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row>
    <row r="201" spans="1:60" x14ac:dyDescent="0.25">
      <c r="A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row>
    <row r="202" spans="1:60" x14ac:dyDescent="0.25">
      <c r="A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row>
    <row r="203" spans="1:60" x14ac:dyDescent="0.25">
      <c r="A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row>
    <row r="204" spans="1:60" x14ac:dyDescent="0.25">
      <c r="A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row>
    <row r="205" spans="1:60" x14ac:dyDescent="0.25">
      <c r="A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c r="AX205" s="69"/>
      <c r="AY205" s="69"/>
      <c r="AZ205" s="69"/>
      <c r="BA205" s="69"/>
      <c r="BB205" s="69"/>
      <c r="BC205" s="69"/>
      <c r="BD205" s="69"/>
      <c r="BE205" s="69"/>
      <c r="BF205" s="69"/>
      <c r="BG205" s="69"/>
      <c r="BH205" s="69"/>
    </row>
    <row r="206" spans="1:60" x14ac:dyDescent="0.25">
      <c r="A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c r="AX206" s="69"/>
      <c r="AY206" s="69"/>
      <c r="AZ206" s="69"/>
      <c r="BA206" s="69"/>
      <c r="BB206" s="69"/>
      <c r="BC206" s="69"/>
      <c r="BD206" s="69"/>
      <c r="BE206" s="69"/>
      <c r="BF206" s="69"/>
      <c r="BG206" s="69"/>
      <c r="BH206" s="69"/>
    </row>
    <row r="207" spans="1:60" x14ac:dyDescent="0.25">
      <c r="A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69"/>
      <c r="AY207" s="69"/>
      <c r="AZ207" s="69"/>
      <c r="BA207" s="69"/>
      <c r="BB207" s="69"/>
      <c r="BC207" s="69"/>
      <c r="BD207" s="69"/>
      <c r="BE207" s="69"/>
      <c r="BF207" s="69"/>
      <c r="BG207" s="69"/>
      <c r="BH207" s="69"/>
    </row>
    <row r="208" spans="1:60" x14ac:dyDescent="0.25">
      <c r="A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row>
    <row r="209" spans="1:60" x14ac:dyDescent="0.25">
      <c r="A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row>
    <row r="210" spans="1:60" x14ac:dyDescent="0.25">
      <c r="A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c r="AX210" s="69"/>
      <c r="AY210" s="69"/>
      <c r="AZ210" s="69"/>
      <c r="BA210" s="69"/>
      <c r="BB210" s="69"/>
      <c r="BC210" s="69"/>
      <c r="BD210" s="69"/>
      <c r="BE210" s="69"/>
      <c r="BF210" s="69"/>
      <c r="BG210" s="69"/>
      <c r="BH210" s="69"/>
    </row>
    <row r="211" spans="1:60" x14ac:dyDescent="0.25">
      <c r="A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69"/>
    </row>
    <row r="212" spans="1:60" x14ac:dyDescent="0.25">
      <c r="A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c r="BE212" s="69"/>
      <c r="BF212" s="69"/>
      <c r="BG212" s="69"/>
      <c r="BH212" s="69"/>
    </row>
    <row r="213" spans="1:60" x14ac:dyDescent="0.25">
      <c r="A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row>
    <row r="214" spans="1:60" x14ac:dyDescent="0.25">
      <c r="A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row>
    <row r="215" spans="1:60" x14ac:dyDescent="0.25">
      <c r="A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row>
    <row r="216" spans="1:60" x14ac:dyDescent="0.25">
      <c r="A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row>
    <row r="217" spans="1:60" x14ac:dyDescent="0.25">
      <c r="A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row>
    <row r="218" spans="1:60" x14ac:dyDescent="0.25">
      <c r="A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row>
    <row r="219" spans="1:60" x14ac:dyDescent="0.25">
      <c r="A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row>
    <row r="220" spans="1:60" x14ac:dyDescent="0.25">
      <c r="A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row>
    <row r="221" spans="1:60" x14ac:dyDescent="0.25">
      <c r="A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row>
    <row r="222" spans="1:60" x14ac:dyDescent="0.25">
      <c r="A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row>
    <row r="223" spans="1:60" x14ac:dyDescent="0.25">
      <c r="A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row>
    <row r="224" spans="1:60" x14ac:dyDescent="0.25">
      <c r="A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c r="AX224" s="69"/>
      <c r="AY224" s="69"/>
      <c r="AZ224" s="69"/>
      <c r="BA224" s="69"/>
      <c r="BB224" s="69"/>
      <c r="BC224" s="69"/>
      <c r="BD224" s="69"/>
      <c r="BE224" s="69"/>
      <c r="BF224" s="69"/>
      <c r="BG224" s="69"/>
      <c r="BH224" s="69"/>
    </row>
    <row r="225" spans="1:60" x14ac:dyDescent="0.25">
      <c r="A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69"/>
      <c r="AY225" s="69"/>
      <c r="AZ225" s="69"/>
      <c r="BA225" s="69"/>
      <c r="BB225" s="69"/>
      <c r="BC225" s="69"/>
      <c r="BD225" s="69"/>
      <c r="BE225" s="69"/>
      <c r="BF225" s="69"/>
      <c r="BG225" s="69"/>
      <c r="BH225" s="69"/>
    </row>
    <row r="226" spans="1:60" x14ac:dyDescent="0.25">
      <c r="A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row>
    <row r="227" spans="1:60" x14ac:dyDescent="0.25">
      <c r="A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c r="AX227" s="69"/>
      <c r="AY227" s="69"/>
      <c r="AZ227" s="69"/>
      <c r="BA227" s="69"/>
      <c r="BB227" s="69"/>
      <c r="BC227" s="69"/>
      <c r="BD227" s="69"/>
      <c r="BE227" s="69"/>
      <c r="BF227" s="69"/>
      <c r="BG227" s="69"/>
      <c r="BH227" s="69"/>
    </row>
    <row r="228" spans="1:60" x14ac:dyDescent="0.25">
      <c r="A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c r="AX228" s="69"/>
      <c r="AY228" s="69"/>
      <c r="AZ228" s="69"/>
      <c r="BA228" s="69"/>
      <c r="BB228" s="69"/>
      <c r="BC228" s="69"/>
      <c r="BD228" s="69"/>
      <c r="BE228" s="69"/>
      <c r="BF228" s="69"/>
      <c r="BG228" s="69"/>
      <c r="BH228" s="69"/>
    </row>
    <row r="229" spans="1:60" x14ac:dyDescent="0.25">
      <c r="A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c r="AX229" s="69"/>
      <c r="AY229" s="69"/>
      <c r="AZ229" s="69"/>
      <c r="BA229" s="69"/>
      <c r="BB229" s="69"/>
      <c r="BC229" s="69"/>
      <c r="BD229" s="69"/>
      <c r="BE229" s="69"/>
      <c r="BF229" s="69"/>
      <c r="BG229" s="69"/>
      <c r="BH229" s="69"/>
    </row>
    <row r="230" spans="1:60" x14ac:dyDescent="0.25">
      <c r="A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c r="BE230" s="69"/>
      <c r="BF230" s="69"/>
      <c r="BG230" s="69"/>
      <c r="BH230" s="69"/>
    </row>
    <row r="231" spans="1:60" x14ac:dyDescent="0.25">
      <c r="A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c r="AX231" s="69"/>
      <c r="AY231" s="69"/>
      <c r="AZ231" s="69"/>
      <c r="BA231" s="69"/>
      <c r="BB231" s="69"/>
      <c r="BC231" s="69"/>
      <c r="BD231" s="69"/>
      <c r="BE231" s="69"/>
      <c r="BF231" s="69"/>
      <c r="BG231" s="69"/>
      <c r="BH231" s="69"/>
    </row>
    <row r="232" spans="1:60" x14ac:dyDescent="0.25">
      <c r="A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c r="AX232" s="69"/>
      <c r="AY232" s="69"/>
      <c r="AZ232" s="69"/>
      <c r="BA232" s="69"/>
      <c r="BB232" s="69"/>
      <c r="BC232" s="69"/>
      <c r="BD232" s="69"/>
      <c r="BE232" s="69"/>
      <c r="BF232" s="69"/>
      <c r="BG232" s="69"/>
      <c r="BH232" s="69"/>
    </row>
    <row r="233" spans="1:60" x14ac:dyDescent="0.25">
      <c r="A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9"/>
      <c r="BD233" s="69"/>
      <c r="BE233" s="69"/>
      <c r="BF233" s="69"/>
      <c r="BG233" s="69"/>
      <c r="BH233" s="69"/>
    </row>
    <row r="234" spans="1:60" x14ac:dyDescent="0.25">
      <c r="A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c r="AX234" s="69"/>
      <c r="AY234" s="69"/>
      <c r="AZ234" s="69"/>
      <c r="BA234" s="69"/>
      <c r="BB234" s="69"/>
      <c r="BC234" s="69"/>
      <c r="BD234" s="69"/>
      <c r="BE234" s="69"/>
      <c r="BF234" s="69"/>
      <c r="BG234" s="69"/>
      <c r="BH234" s="69"/>
    </row>
    <row r="235" spans="1:60" x14ac:dyDescent="0.25">
      <c r="A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c r="BF235" s="69"/>
      <c r="BG235" s="69"/>
      <c r="BH235" s="69"/>
    </row>
    <row r="236" spans="1:60" x14ac:dyDescent="0.25">
      <c r="A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c r="AX236" s="69"/>
      <c r="AY236" s="69"/>
      <c r="AZ236" s="69"/>
      <c r="BA236" s="69"/>
      <c r="BB236" s="69"/>
      <c r="BC236" s="69"/>
      <c r="BD236" s="69"/>
      <c r="BE236" s="69"/>
      <c r="BF236" s="69"/>
      <c r="BG236" s="69"/>
      <c r="BH236" s="69"/>
    </row>
    <row r="237" spans="1:60" x14ac:dyDescent="0.25">
      <c r="A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c r="AX237" s="69"/>
      <c r="AY237" s="69"/>
      <c r="AZ237" s="69"/>
      <c r="BA237" s="69"/>
      <c r="BB237" s="69"/>
      <c r="BC237" s="69"/>
      <c r="BD237" s="69"/>
      <c r="BE237" s="69"/>
      <c r="BF237" s="69"/>
      <c r="BG237" s="69"/>
      <c r="BH237" s="69"/>
    </row>
    <row r="238" spans="1:60" x14ac:dyDescent="0.25">
      <c r="A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c r="AX238" s="69"/>
      <c r="AY238" s="69"/>
      <c r="AZ238" s="69"/>
      <c r="BA238" s="69"/>
      <c r="BB238" s="69"/>
      <c r="BC238" s="69"/>
      <c r="BD238" s="69"/>
      <c r="BE238" s="69"/>
      <c r="BF238" s="69"/>
      <c r="BG238" s="69"/>
      <c r="BH238" s="69"/>
    </row>
    <row r="239" spans="1:60" x14ac:dyDescent="0.25">
      <c r="A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69"/>
    </row>
    <row r="240" spans="1:60" x14ac:dyDescent="0.25">
      <c r="A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c r="AX240" s="69"/>
      <c r="AY240" s="69"/>
      <c r="AZ240" s="69"/>
      <c r="BA240" s="69"/>
      <c r="BB240" s="69"/>
      <c r="BC240" s="69"/>
      <c r="BD240" s="69"/>
      <c r="BE240" s="69"/>
      <c r="BF240" s="69"/>
      <c r="BG240" s="69"/>
      <c r="BH240" s="69"/>
    </row>
    <row r="241" spans="1:60" x14ac:dyDescent="0.25">
      <c r="A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c r="AX241" s="69"/>
      <c r="AY241" s="69"/>
      <c r="AZ241" s="69"/>
      <c r="BA241" s="69"/>
      <c r="BB241" s="69"/>
      <c r="BC241" s="69"/>
      <c r="BD241" s="69"/>
      <c r="BE241" s="69"/>
      <c r="BF241" s="69"/>
      <c r="BG241" s="69"/>
      <c r="BH241" s="69"/>
    </row>
    <row r="242" spans="1:60" x14ac:dyDescent="0.25">
      <c r="A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c r="AX242" s="69"/>
      <c r="AY242" s="69"/>
      <c r="AZ242" s="69"/>
      <c r="BA242" s="69"/>
      <c r="BB242" s="69"/>
      <c r="BC242" s="69"/>
      <c r="BD242" s="69"/>
      <c r="BE242" s="69"/>
      <c r="BF242" s="69"/>
      <c r="BG242" s="69"/>
      <c r="BH242" s="69"/>
    </row>
    <row r="243" spans="1:60" x14ac:dyDescent="0.25">
      <c r="A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c r="AX243" s="69"/>
      <c r="AY243" s="69"/>
      <c r="AZ243" s="69"/>
      <c r="BA243" s="69"/>
      <c r="BB243" s="69"/>
      <c r="BC243" s="69"/>
      <c r="BD243" s="69"/>
      <c r="BE243" s="69"/>
      <c r="BF243" s="69"/>
      <c r="BG243" s="69"/>
      <c r="BH243" s="69"/>
    </row>
    <row r="244" spans="1:60" x14ac:dyDescent="0.25">
      <c r="A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c r="AX244" s="69"/>
      <c r="AY244" s="69"/>
      <c r="AZ244" s="69"/>
      <c r="BA244" s="69"/>
      <c r="BB244" s="69"/>
      <c r="BC244" s="69"/>
      <c r="BD244" s="69"/>
      <c r="BE244" s="69"/>
      <c r="BF244" s="69"/>
      <c r="BG244" s="69"/>
      <c r="BH244" s="69"/>
    </row>
    <row r="245" spans="1:60" x14ac:dyDescent="0.25">
      <c r="A245" s="69"/>
    </row>
    <row r="246" spans="1:60" x14ac:dyDescent="0.25">
      <c r="A246" s="69"/>
    </row>
    <row r="247" spans="1:60" x14ac:dyDescent="0.25">
      <c r="A247" s="69"/>
    </row>
    <row r="248" spans="1:60" x14ac:dyDescent="0.25">
      <c r="A248" s="69"/>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00B0F0"/>
  </sheetPr>
  <dimension ref="A1:AK55"/>
  <sheetViews>
    <sheetView showGridLines="0" zoomScale="90" zoomScaleNormal="90" workbookViewId="0">
      <selection activeCell="E39" sqref="E39"/>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69"/>
      <c r="B1" s="567" t="s">
        <v>55</v>
      </c>
      <c r="C1" s="567"/>
      <c r="D1" s="567"/>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37" x14ac:dyDescent="0.2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7" ht="25.5" x14ac:dyDescent="0.25">
      <c r="A3" s="69"/>
      <c r="B3" s="3"/>
      <c r="C3" s="4" t="s">
        <v>52</v>
      </c>
      <c r="D3" s="4" t="s">
        <v>4</v>
      </c>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7" ht="51" x14ac:dyDescent="0.25">
      <c r="A4" s="69"/>
      <c r="B4" s="5" t="s">
        <v>51</v>
      </c>
      <c r="C4" s="6" t="s">
        <v>102</v>
      </c>
      <c r="D4" s="7">
        <v>0.2</v>
      </c>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7" ht="51" x14ac:dyDescent="0.25">
      <c r="A5" s="69"/>
      <c r="B5" s="8" t="s">
        <v>53</v>
      </c>
      <c r="C5" s="9" t="s">
        <v>103</v>
      </c>
      <c r="D5" s="10">
        <v>0.4</v>
      </c>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7" ht="51" x14ac:dyDescent="0.25">
      <c r="A6" s="69"/>
      <c r="B6" s="11" t="s">
        <v>107</v>
      </c>
      <c r="C6" s="9" t="s">
        <v>104</v>
      </c>
      <c r="D6" s="10">
        <v>0.6</v>
      </c>
      <c r="E6" s="69"/>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1:37" ht="76.5" x14ac:dyDescent="0.25">
      <c r="A7" s="69"/>
      <c r="B7" s="12" t="s">
        <v>6</v>
      </c>
      <c r="C7" s="9" t="s">
        <v>105</v>
      </c>
      <c r="D7" s="10">
        <v>0.8</v>
      </c>
      <c r="E7" s="69"/>
      <c r="F7" s="69"/>
      <c r="G7" s="69"/>
      <c r="H7" s="69"/>
      <c r="I7" s="69"/>
      <c r="J7" s="69"/>
      <c r="K7" s="69"/>
      <c r="L7" s="69"/>
      <c r="M7" s="69"/>
      <c r="N7" s="69"/>
      <c r="O7" s="69"/>
      <c r="P7" s="69"/>
      <c r="Q7" s="69"/>
      <c r="R7" s="69"/>
      <c r="S7" s="69"/>
      <c r="T7" s="69"/>
      <c r="U7" s="69"/>
      <c r="V7" s="69"/>
      <c r="W7" s="69"/>
      <c r="X7" s="69"/>
      <c r="Y7" s="69"/>
      <c r="Z7" s="69"/>
      <c r="AA7" s="69"/>
      <c r="AB7" s="69"/>
      <c r="AC7" s="69"/>
      <c r="AD7" s="69"/>
      <c r="AE7" s="69"/>
    </row>
    <row r="8" spans="1:37" ht="51" x14ac:dyDescent="0.25">
      <c r="A8" s="69"/>
      <c r="B8" s="13" t="s">
        <v>54</v>
      </c>
      <c r="C8" s="9" t="s">
        <v>106</v>
      </c>
      <c r="D8" s="10">
        <v>1</v>
      </c>
      <c r="E8" s="69"/>
      <c r="F8" s="69"/>
      <c r="G8" s="69"/>
      <c r="H8" s="69"/>
      <c r="I8" s="69"/>
      <c r="J8" s="69"/>
      <c r="K8" s="69"/>
      <c r="L8" s="69"/>
      <c r="M8" s="69"/>
      <c r="N8" s="69"/>
      <c r="O8" s="69"/>
      <c r="P8" s="69"/>
      <c r="Q8" s="69"/>
      <c r="R8" s="69"/>
      <c r="S8" s="69"/>
      <c r="T8" s="69"/>
      <c r="U8" s="69"/>
      <c r="V8" s="69"/>
      <c r="W8" s="69"/>
      <c r="X8" s="69"/>
      <c r="Y8" s="69"/>
      <c r="Z8" s="69"/>
      <c r="AA8" s="69"/>
      <c r="AB8" s="69"/>
      <c r="AC8" s="69"/>
      <c r="AD8" s="69"/>
      <c r="AE8" s="69"/>
    </row>
    <row r="9" spans="1:37" x14ac:dyDescent="0.25">
      <c r="A9" s="69"/>
      <c r="B9" s="93"/>
      <c r="C9" s="93"/>
      <c r="D9" s="93"/>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row>
    <row r="10" spans="1:37" ht="16.5" x14ac:dyDescent="0.25">
      <c r="A10" s="69"/>
      <c r="B10" s="94"/>
      <c r="C10" s="93"/>
      <c r="D10" s="93"/>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row>
    <row r="11" spans="1:37" x14ac:dyDescent="0.25">
      <c r="A11" s="69"/>
      <c r="B11" s="93"/>
      <c r="C11" s="93"/>
      <c r="D11" s="93"/>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row>
    <row r="12" spans="1:37" x14ac:dyDescent="0.25">
      <c r="A12" s="69"/>
      <c r="B12" s="93"/>
      <c r="C12" s="93"/>
      <c r="D12" s="93"/>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row>
    <row r="13" spans="1:37" x14ac:dyDescent="0.25">
      <c r="A13" s="69"/>
      <c r="B13" s="93"/>
      <c r="C13" s="93"/>
      <c r="D13" s="93"/>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row>
    <row r="14" spans="1:37" x14ac:dyDescent="0.25">
      <c r="A14" s="69"/>
      <c r="B14" s="93"/>
      <c r="C14" s="93"/>
      <c r="D14" s="93"/>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row>
    <row r="15" spans="1:37" x14ac:dyDescent="0.25">
      <c r="A15" s="69"/>
      <c r="B15" s="93"/>
      <c r="C15" s="93"/>
      <c r="D15" s="93"/>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row>
    <row r="16" spans="1:37" x14ac:dyDescent="0.25">
      <c r="A16" s="69"/>
      <c r="B16" s="93"/>
      <c r="C16" s="93"/>
      <c r="D16" s="93"/>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row>
    <row r="17" spans="1:37" x14ac:dyDescent="0.25">
      <c r="A17" s="69"/>
      <c r="B17" s="93"/>
      <c r="C17" s="93"/>
      <c r="D17" s="93"/>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row>
    <row r="18" spans="1:37" x14ac:dyDescent="0.25">
      <c r="A18" s="69"/>
      <c r="B18" s="93"/>
      <c r="C18" s="93"/>
      <c r="D18" s="93"/>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row>
    <row r="19" spans="1:37" x14ac:dyDescent="0.25">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row>
    <row r="20" spans="1:37" x14ac:dyDescent="0.25">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row>
    <row r="21" spans="1:37" x14ac:dyDescent="0.25">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row>
    <row r="22" spans="1:37" x14ac:dyDescent="0.25">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row>
    <row r="23" spans="1:37" x14ac:dyDescent="0.25">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row>
    <row r="24" spans="1:37" x14ac:dyDescent="0.2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row>
    <row r="25" spans="1:37" x14ac:dyDescent="0.25">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row>
    <row r="26" spans="1:37" x14ac:dyDescent="0.25">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1:37" x14ac:dyDescent="0.25">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row>
    <row r="28" spans="1:37" x14ac:dyDescent="0.25">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row>
    <row r="29" spans="1:37" x14ac:dyDescent="0.25">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row>
    <row r="30" spans="1:37" x14ac:dyDescent="0.25">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1:37" x14ac:dyDescent="0.25">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1:37" x14ac:dyDescent="0.25">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1:31" x14ac:dyDescent="0.25">
      <c r="A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row>
    <row r="34" spans="1:31" x14ac:dyDescent="0.25">
      <c r="A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row>
    <row r="35" spans="1:31" x14ac:dyDescent="0.25">
      <c r="A35" s="69"/>
    </row>
    <row r="36" spans="1:31" x14ac:dyDescent="0.25">
      <c r="A36" s="69"/>
    </row>
    <row r="37" spans="1:31" x14ac:dyDescent="0.25">
      <c r="A37" s="69"/>
    </row>
    <row r="38" spans="1:31" x14ac:dyDescent="0.25">
      <c r="A38" s="69"/>
    </row>
    <row r="39" spans="1:31" x14ac:dyDescent="0.25">
      <c r="A39" s="69"/>
    </row>
    <row r="40" spans="1:31" x14ac:dyDescent="0.25">
      <c r="A40" s="69"/>
    </row>
    <row r="41" spans="1:31" x14ac:dyDescent="0.25">
      <c r="A41" s="69"/>
    </row>
    <row r="42" spans="1:31" x14ac:dyDescent="0.25">
      <c r="A42" s="69"/>
    </row>
    <row r="43" spans="1:31" x14ac:dyDescent="0.25">
      <c r="A43" s="69"/>
    </row>
    <row r="44" spans="1:31" x14ac:dyDescent="0.25">
      <c r="A44" s="69"/>
    </row>
    <row r="45" spans="1:31" x14ac:dyDescent="0.25">
      <c r="A45" s="69"/>
    </row>
    <row r="46" spans="1:31" x14ac:dyDescent="0.25">
      <c r="A46" s="69"/>
    </row>
    <row r="47" spans="1:31" x14ac:dyDescent="0.25">
      <c r="A47" s="69"/>
    </row>
    <row r="48" spans="1:31" x14ac:dyDescent="0.25">
      <c r="A48" s="69"/>
    </row>
    <row r="49" spans="1:1" x14ac:dyDescent="0.25">
      <c r="A49" s="69"/>
    </row>
    <row r="50" spans="1:1" x14ac:dyDescent="0.25">
      <c r="A50" s="69"/>
    </row>
    <row r="51" spans="1:1" x14ac:dyDescent="0.25">
      <c r="A51" s="69"/>
    </row>
    <row r="52" spans="1:1" x14ac:dyDescent="0.25">
      <c r="A52" s="69"/>
    </row>
    <row r="53" spans="1:1" x14ac:dyDescent="0.25">
      <c r="A53" s="69"/>
    </row>
    <row r="54" spans="1:1" x14ac:dyDescent="0.25">
      <c r="A54" s="69"/>
    </row>
    <row r="55" spans="1:1" x14ac:dyDescent="0.25">
      <c r="A55" s="69"/>
    </row>
  </sheetData>
  <mergeCells count="1">
    <mergeCell ref="B1: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6" tint="-0.249977111117893"/>
  </sheetPr>
  <dimension ref="A1:U232"/>
  <sheetViews>
    <sheetView showGridLines="0" topLeftCell="A19" zoomScale="60" zoomScaleNormal="60" workbookViewId="0">
      <selection activeCell="D39" sqref="D39"/>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69"/>
      <c r="B1" s="568" t="s">
        <v>63</v>
      </c>
      <c r="C1" s="568"/>
      <c r="D1" s="568"/>
      <c r="E1" s="69"/>
      <c r="F1" s="69"/>
      <c r="G1" s="69"/>
      <c r="H1" s="69"/>
      <c r="I1" s="69"/>
      <c r="J1" s="69"/>
      <c r="K1" s="69"/>
      <c r="L1" s="69"/>
      <c r="M1" s="69"/>
      <c r="N1" s="69"/>
      <c r="O1" s="69"/>
      <c r="P1" s="69"/>
      <c r="Q1" s="69"/>
      <c r="R1" s="69"/>
      <c r="S1" s="69"/>
      <c r="T1" s="69"/>
      <c r="U1" s="69"/>
    </row>
    <row r="2" spans="1:21" x14ac:dyDescent="0.25">
      <c r="A2" s="69"/>
      <c r="B2" s="69"/>
      <c r="C2" s="69"/>
      <c r="D2" s="69"/>
      <c r="E2" s="69"/>
      <c r="F2" s="69"/>
      <c r="G2" s="69"/>
      <c r="H2" s="69"/>
      <c r="I2" s="69"/>
      <c r="J2" s="69"/>
      <c r="K2" s="69"/>
      <c r="L2" s="69"/>
      <c r="M2" s="69"/>
      <c r="N2" s="69"/>
      <c r="O2" s="69"/>
      <c r="P2" s="69"/>
      <c r="Q2" s="69"/>
      <c r="R2" s="69"/>
      <c r="S2" s="69"/>
      <c r="T2" s="69"/>
      <c r="U2" s="69"/>
    </row>
    <row r="3" spans="1:21" ht="30" x14ac:dyDescent="0.25">
      <c r="A3" s="69"/>
      <c r="B3" s="90"/>
      <c r="C3" s="22" t="s">
        <v>56</v>
      </c>
      <c r="D3" s="22" t="s">
        <v>57</v>
      </c>
      <c r="E3" s="69"/>
      <c r="F3" s="69"/>
      <c r="G3" s="69"/>
      <c r="H3" s="69"/>
      <c r="I3" s="69"/>
      <c r="J3" s="69"/>
      <c r="K3" s="69"/>
      <c r="L3" s="69"/>
      <c r="M3" s="69"/>
      <c r="N3" s="69"/>
      <c r="O3" s="69"/>
      <c r="P3" s="69"/>
      <c r="Q3" s="69"/>
      <c r="R3" s="69"/>
      <c r="S3" s="69"/>
      <c r="T3" s="69"/>
      <c r="U3" s="69"/>
    </row>
    <row r="4" spans="1:21" ht="33.75" x14ac:dyDescent="0.25">
      <c r="A4" s="89" t="s">
        <v>83</v>
      </c>
      <c r="B4" s="25" t="s">
        <v>101</v>
      </c>
      <c r="C4" s="30" t="s">
        <v>156</v>
      </c>
      <c r="D4" s="23" t="s">
        <v>97</v>
      </c>
      <c r="E4" s="69"/>
      <c r="F4" s="69"/>
      <c r="G4" s="69"/>
      <c r="H4" s="69"/>
      <c r="I4" s="69"/>
      <c r="J4" s="69"/>
      <c r="K4" s="69"/>
      <c r="L4" s="69"/>
      <c r="M4" s="69"/>
      <c r="N4" s="69"/>
      <c r="O4" s="69"/>
      <c r="P4" s="69"/>
      <c r="Q4" s="69"/>
      <c r="R4" s="69"/>
      <c r="S4" s="69"/>
      <c r="T4" s="69"/>
      <c r="U4" s="69"/>
    </row>
    <row r="5" spans="1:21" ht="67.5" x14ac:dyDescent="0.25">
      <c r="A5" s="89" t="s">
        <v>84</v>
      </c>
      <c r="B5" s="26" t="s">
        <v>59</v>
      </c>
      <c r="C5" s="31" t="s">
        <v>93</v>
      </c>
      <c r="D5" s="24" t="s">
        <v>98</v>
      </c>
      <c r="E5" s="69"/>
      <c r="F5" s="69"/>
      <c r="G5" s="69"/>
      <c r="H5" s="69"/>
      <c r="I5" s="69"/>
      <c r="J5" s="69"/>
      <c r="K5" s="69"/>
      <c r="L5" s="69"/>
      <c r="M5" s="69"/>
      <c r="N5" s="69"/>
      <c r="O5" s="69"/>
      <c r="P5" s="69"/>
      <c r="Q5" s="69"/>
      <c r="R5" s="69"/>
      <c r="S5" s="69"/>
      <c r="T5" s="69"/>
      <c r="U5" s="69"/>
    </row>
    <row r="6" spans="1:21" ht="67.5" x14ac:dyDescent="0.25">
      <c r="A6" s="89" t="s">
        <v>81</v>
      </c>
      <c r="B6" s="27" t="s">
        <v>60</v>
      </c>
      <c r="C6" s="31" t="s">
        <v>94</v>
      </c>
      <c r="D6" s="24" t="s">
        <v>100</v>
      </c>
      <c r="E6" s="69"/>
      <c r="F6" s="69"/>
      <c r="G6" s="69"/>
      <c r="H6" s="69"/>
      <c r="I6" s="69"/>
      <c r="J6" s="69"/>
      <c r="K6" s="69"/>
      <c r="L6" s="69"/>
      <c r="M6" s="69"/>
      <c r="N6" s="69"/>
      <c r="O6" s="69"/>
      <c r="P6" s="69"/>
      <c r="Q6" s="69"/>
      <c r="R6" s="69"/>
      <c r="S6" s="69"/>
      <c r="T6" s="69"/>
      <c r="U6" s="69"/>
    </row>
    <row r="7" spans="1:21" ht="101.25" x14ac:dyDescent="0.25">
      <c r="A7" s="89" t="s">
        <v>7</v>
      </c>
      <c r="B7" s="28" t="s">
        <v>61</v>
      </c>
      <c r="C7" s="31" t="s">
        <v>95</v>
      </c>
      <c r="D7" s="24" t="s">
        <v>99</v>
      </c>
      <c r="E7" s="69"/>
      <c r="F7" s="69"/>
      <c r="G7" s="69"/>
      <c r="H7" s="69"/>
      <c r="I7" s="69"/>
      <c r="J7" s="69"/>
      <c r="K7" s="69"/>
      <c r="L7" s="69"/>
      <c r="M7" s="69"/>
      <c r="N7" s="69"/>
      <c r="O7" s="69"/>
      <c r="P7" s="69"/>
      <c r="Q7" s="69"/>
      <c r="R7" s="69"/>
      <c r="S7" s="69"/>
      <c r="T7" s="69"/>
      <c r="U7" s="69"/>
    </row>
    <row r="8" spans="1:21" ht="67.5" x14ac:dyDescent="0.25">
      <c r="A8" s="89" t="s">
        <v>85</v>
      </c>
      <c r="B8" s="29" t="s">
        <v>62</v>
      </c>
      <c r="C8" s="31" t="s">
        <v>96</v>
      </c>
      <c r="D8" s="24" t="s">
        <v>118</v>
      </c>
      <c r="E8" s="69"/>
      <c r="F8" s="69"/>
      <c r="G8" s="69"/>
      <c r="H8" s="69"/>
      <c r="I8" s="69"/>
      <c r="J8" s="69"/>
      <c r="K8" s="69"/>
      <c r="L8" s="69"/>
      <c r="M8" s="69"/>
      <c r="N8" s="69"/>
      <c r="O8" s="69"/>
      <c r="P8" s="69"/>
      <c r="Q8" s="69"/>
      <c r="R8" s="69"/>
      <c r="S8" s="69"/>
      <c r="T8" s="69"/>
      <c r="U8" s="69"/>
    </row>
    <row r="9" spans="1:21" ht="20.25" x14ac:dyDescent="0.25">
      <c r="A9" s="89"/>
      <c r="B9" s="89"/>
      <c r="C9" s="91"/>
      <c r="D9" s="91"/>
      <c r="E9" s="69"/>
      <c r="F9" s="69"/>
      <c r="G9" s="69"/>
      <c r="H9" s="69"/>
      <c r="I9" s="69"/>
      <c r="J9" s="69"/>
      <c r="K9" s="69"/>
      <c r="L9" s="69"/>
      <c r="M9" s="69"/>
      <c r="N9" s="69"/>
      <c r="O9" s="69"/>
      <c r="P9" s="69"/>
      <c r="Q9" s="69"/>
      <c r="R9" s="69"/>
      <c r="S9" s="69"/>
      <c r="T9" s="69"/>
      <c r="U9" s="69"/>
    </row>
    <row r="10" spans="1:21" ht="16.5" x14ac:dyDescent="0.25">
      <c r="A10" s="89"/>
      <c r="B10" s="92"/>
      <c r="C10" s="92"/>
      <c r="D10" s="92"/>
      <c r="E10" s="69"/>
      <c r="F10" s="69"/>
      <c r="G10" s="69"/>
      <c r="H10" s="69"/>
      <c r="I10" s="69"/>
      <c r="J10" s="69"/>
      <c r="K10" s="69"/>
      <c r="L10" s="69"/>
      <c r="M10" s="69"/>
      <c r="N10" s="69"/>
      <c r="O10" s="69"/>
      <c r="P10" s="69"/>
      <c r="Q10" s="69"/>
      <c r="R10" s="69"/>
      <c r="S10" s="69"/>
      <c r="T10" s="69"/>
      <c r="U10" s="69"/>
    </row>
    <row r="11" spans="1:21" x14ac:dyDescent="0.25">
      <c r="A11" s="89"/>
      <c r="B11" s="89" t="s">
        <v>91</v>
      </c>
      <c r="C11" s="89" t="s">
        <v>144</v>
      </c>
      <c r="D11" s="89" t="s">
        <v>151</v>
      </c>
      <c r="E11" s="69"/>
      <c r="F11" s="69"/>
      <c r="G11" s="69"/>
      <c r="H11" s="69"/>
      <c r="I11" s="69"/>
      <c r="J11" s="69"/>
      <c r="K11" s="69"/>
      <c r="L11" s="69"/>
      <c r="M11" s="69"/>
      <c r="N11" s="69"/>
      <c r="O11" s="69"/>
      <c r="P11" s="69"/>
      <c r="Q11" s="69"/>
      <c r="R11" s="69"/>
      <c r="S11" s="69"/>
      <c r="T11" s="69"/>
      <c r="U11" s="69"/>
    </row>
    <row r="12" spans="1:21" x14ac:dyDescent="0.25">
      <c r="A12" s="89"/>
      <c r="B12" s="89" t="s">
        <v>89</v>
      </c>
      <c r="C12" s="89" t="s">
        <v>148</v>
      </c>
      <c r="D12" s="89" t="s">
        <v>152</v>
      </c>
      <c r="E12" s="69"/>
      <c r="F12" s="69"/>
      <c r="G12" s="69"/>
      <c r="H12" s="69"/>
      <c r="I12" s="69"/>
      <c r="J12" s="69"/>
      <c r="K12" s="69"/>
      <c r="L12" s="69"/>
      <c r="M12" s="69"/>
      <c r="N12" s="69"/>
      <c r="O12" s="69"/>
      <c r="P12" s="69"/>
      <c r="Q12" s="69"/>
      <c r="R12" s="69"/>
      <c r="S12" s="69"/>
      <c r="T12" s="69"/>
      <c r="U12" s="69"/>
    </row>
    <row r="13" spans="1:21" x14ac:dyDescent="0.25">
      <c r="A13" s="89"/>
      <c r="B13" s="89"/>
      <c r="C13" s="89" t="s">
        <v>147</v>
      </c>
      <c r="D13" s="89" t="s">
        <v>153</v>
      </c>
      <c r="E13" s="69"/>
      <c r="F13" s="69"/>
      <c r="G13" s="69"/>
      <c r="H13" s="69"/>
      <c r="I13" s="69"/>
      <c r="J13" s="69"/>
      <c r="K13" s="69"/>
      <c r="L13" s="69"/>
      <c r="M13" s="69"/>
      <c r="N13" s="69"/>
      <c r="O13" s="69"/>
      <c r="P13" s="69"/>
      <c r="Q13" s="69"/>
      <c r="R13" s="69"/>
      <c r="S13" s="69"/>
      <c r="T13" s="69"/>
      <c r="U13" s="69"/>
    </row>
    <row r="14" spans="1:21" x14ac:dyDescent="0.25">
      <c r="A14" s="89"/>
      <c r="B14" s="89"/>
      <c r="C14" s="89" t="s">
        <v>149</v>
      </c>
      <c r="D14" s="89" t="s">
        <v>154</v>
      </c>
      <c r="E14" s="69"/>
      <c r="F14" s="69"/>
      <c r="G14" s="69"/>
      <c r="H14" s="69"/>
      <c r="I14" s="69"/>
      <c r="J14" s="69"/>
      <c r="K14" s="69"/>
      <c r="L14" s="69"/>
      <c r="M14" s="69"/>
      <c r="N14" s="69"/>
      <c r="O14" s="69"/>
      <c r="P14" s="69"/>
      <c r="Q14" s="69"/>
      <c r="R14" s="69"/>
      <c r="S14" s="69"/>
      <c r="T14" s="69"/>
      <c r="U14" s="69"/>
    </row>
    <row r="15" spans="1:21" x14ac:dyDescent="0.25">
      <c r="A15" s="89"/>
      <c r="B15" s="89"/>
      <c r="C15" s="89" t="s">
        <v>150</v>
      </c>
      <c r="D15" s="89" t="s">
        <v>155</v>
      </c>
      <c r="E15" s="69"/>
      <c r="F15" s="69"/>
      <c r="G15" s="69"/>
      <c r="H15" s="69"/>
      <c r="I15" s="69"/>
      <c r="J15" s="69"/>
      <c r="K15" s="69"/>
      <c r="L15" s="69"/>
      <c r="M15" s="69"/>
      <c r="N15" s="69"/>
      <c r="O15" s="69"/>
      <c r="P15" s="69"/>
      <c r="Q15" s="69"/>
      <c r="R15" s="69"/>
      <c r="S15" s="69"/>
      <c r="T15" s="69"/>
      <c r="U15" s="69"/>
    </row>
    <row r="16" spans="1:21" x14ac:dyDescent="0.25">
      <c r="A16" s="89"/>
      <c r="B16" s="89"/>
      <c r="C16" s="89"/>
      <c r="D16" s="89"/>
      <c r="E16" s="69"/>
      <c r="F16" s="69"/>
      <c r="G16" s="69"/>
      <c r="H16" s="69"/>
      <c r="I16" s="69"/>
      <c r="J16" s="69"/>
      <c r="K16" s="69"/>
      <c r="L16" s="69"/>
      <c r="M16" s="69"/>
      <c r="N16" s="69"/>
      <c r="O16" s="69"/>
    </row>
    <row r="17" spans="1:15" x14ac:dyDescent="0.25">
      <c r="A17" s="89"/>
      <c r="B17" s="89"/>
      <c r="C17" s="89"/>
      <c r="D17" s="89"/>
      <c r="E17" s="69"/>
      <c r="F17" s="69"/>
      <c r="G17" s="69"/>
      <c r="H17" s="69"/>
      <c r="I17" s="69"/>
      <c r="J17" s="69"/>
      <c r="K17" s="69"/>
      <c r="L17" s="69"/>
      <c r="M17" s="69"/>
      <c r="N17" s="69"/>
      <c r="O17" s="69"/>
    </row>
    <row r="18" spans="1:15" x14ac:dyDescent="0.25">
      <c r="A18" s="89"/>
      <c r="B18" s="93"/>
      <c r="C18" s="93"/>
      <c r="D18" s="93"/>
      <c r="E18" s="69"/>
      <c r="F18" s="69"/>
      <c r="G18" s="69"/>
      <c r="H18" s="69"/>
      <c r="I18" s="69"/>
      <c r="J18" s="69"/>
      <c r="K18" s="69"/>
      <c r="L18" s="69"/>
      <c r="M18" s="69"/>
      <c r="N18" s="69"/>
      <c r="O18" s="69"/>
    </row>
    <row r="19" spans="1:15" x14ac:dyDescent="0.25">
      <c r="A19" s="89"/>
      <c r="B19" s="93"/>
      <c r="C19" s="93"/>
      <c r="D19" s="93"/>
      <c r="E19" s="69"/>
      <c r="F19" s="69"/>
      <c r="G19" s="69"/>
      <c r="H19" s="69"/>
      <c r="I19" s="69"/>
      <c r="J19" s="69"/>
      <c r="K19" s="69"/>
      <c r="L19" s="69"/>
      <c r="M19" s="69"/>
      <c r="N19" s="69"/>
      <c r="O19" s="69"/>
    </row>
    <row r="20" spans="1:15" x14ac:dyDescent="0.25">
      <c r="A20" s="89"/>
      <c r="B20" s="93"/>
      <c r="C20" s="93"/>
      <c r="D20" s="93"/>
      <c r="E20" s="69"/>
      <c r="F20" s="69"/>
      <c r="G20" s="69"/>
      <c r="H20" s="69"/>
      <c r="I20" s="69"/>
      <c r="J20" s="69"/>
      <c r="K20" s="69"/>
      <c r="L20" s="69"/>
      <c r="M20" s="69"/>
      <c r="N20" s="69"/>
      <c r="O20" s="69"/>
    </row>
    <row r="21" spans="1:15" x14ac:dyDescent="0.25">
      <c r="A21" s="89"/>
      <c r="B21" s="93"/>
      <c r="C21" s="93"/>
      <c r="D21" s="93"/>
      <c r="E21" s="69"/>
      <c r="F21" s="69"/>
      <c r="G21" s="69"/>
      <c r="H21" s="69"/>
      <c r="I21" s="69"/>
      <c r="J21" s="69"/>
      <c r="K21" s="69"/>
      <c r="L21" s="69"/>
      <c r="M21" s="69"/>
      <c r="N21" s="69"/>
      <c r="O21" s="69"/>
    </row>
    <row r="22" spans="1:15" ht="20.25" x14ac:dyDescent="0.25">
      <c r="A22" s="89"/>
      <c r="B22" s="89"/>
      <c r="C22" s="91"/>
      <c r="D22" s="91"/>
      <c r="E22" s="69"/>
      <c r="F22" s="69"/>
      <c r="G22" s="69"/>
      <c r="H22" s="69"/>
      <c r="I22" s="69"/>
      <c r="J22" s="69"/>
      <c r="K22" s="69"/>
      <c r="L22" s="69"/>
      <c r="M22" s="69"/>
      <c r="N22" s="69"/>
      <c r="O22" s="69"/>
    </row>
    <row r="23" spans="1:15" ht="20.25" x14ac:dyDescent="0.25">
      <c r="A23" s="89"/>
      <c r="B23" s="89"/>
      <c r="C23" s="91"/>
      <c r="D23" s="91"/>
      <c r="E23" s="69"/>
      <c r="F23" s="69"/>
      <c r="G23" s="69"/>
      <c r="H23" s="69"/>
      <c r="I23" s="69"/>
      <c r="J23" s="69"/>
      <c r="K23" s="69"/>
      <c r="L23" s="69"/>
      <c r="M23" s="69"/>
      <c r="N23" s="69"/>
      <c r="O23" s="69"/>
    </row>
    <row r="24" spans="1:15" ht="20.25" x14ac:dyDescent="0.25">
      <c r="A24" s="89"/>
      <c r="B24" s="89"/>
      <c r="C24" s="91"/>
      <c r="D24" s="91"/>
      <c r="E24" s="69"/>
      <c r="F24" s="69"/>
      <c r="G24" s="69"/>
      <c r="H24" s="69"/>
      <c r="I24" s="69"/>
      <c r="J24" s="69"/>
      <c r="K24" s="69"/>
      <c r="L24" s="69"/>
      <c r="M24" s="69"/>
      <c r="N24" s="69"/>
      <c r="O24" s="69"/>
    </row>
    <row r="25" spans="1:15" ht="20.25" x14ac:dyDescent="0.25">
      <c r="A25" s="89"/>
      <c r="B25" s="89"/>
      <c r="C25" s="91"/>
      <c r="D25" s="91"/>
      <c r="E25" s="69"/>
      <c r="F25" s="69"/>
      <c r="G25" s="69"/>
      <c r="H25" s="69"/>
      <c r="I25" s="69"/>
      <c r="J25" s="69"/>
      <c r="K25" s="69"/>
      <c r="L25" s="69"/>
      <c r="M25" s="69"/>
      <c r="N25" s="69"/>
      <c r="O25" s="69"/>
    </row>
    <row r="26" spans="1:15" ht="20.25" x14ac:dyDescent="0.25">
      <c r="A26" s="89"/>
      <c r="B26" s="89"/>
      <c r="C26" s="91"/>
      <c r="D26" s="91"/>
      <c r="E26" s="69"/>
      <c r="F26" s="69"/>
      <c r="G26" s="69"/>
      <c r="H26" s="69"/>
      <c r="I26" s="69"/>
      <c r="J26" s="69"/>
      <c r="K26" s="69"/>
      <c r="L26" s="69"/>
      <c r="M26" s="69"/>
      <c r="N26" s="69"/>
      <c r="O26" s="69"/>
    </row>
    <row r="27" spans="1:15" ht="20.25" x14ac:dyDescent="0.25">
      <c r="A27" s="89"/>
      <c r="B27" s="89"/>
      <c r="C27" s="91"/>
      <c r="D27" s="91"/>
      <c r="E27" s="69"/>
      <c r="F27" s="69"/>
      <c r="G27" s="69"/>
      <c r="H27" s="69"/>
      <c r="I27" s="69"/>
      <c r="J27" s="69"/>
      <c r="K27" s="69"/>
      <c r="L27" s="69"/>
      <c r="M27" s="69"/>
      <c r="N27" s="69"/>
      <c r="O27" s="69"/>
    </row>
    <row r="28" spans="1:15" ht="20.25" x14ac:dyDescent="0.25">
      <c r="A28" s="89"/>
      <c r="B28" s="89"/>
      <c r="C28" s="91"/>
      <c r="D28" s="91"/>
      <c r="E28" s="69"/>
      <c r="F28" s="69"/>
      <c r="G28" s="69"/>
      <c r="H28" s="69"/>
      <c r="I28" s="69"/>
      <c r="J28" s="69"/>
      <c r="K28" s="69"/>
      <c r="L28" s="69"/>
      <c r="M28" s="69"/>
      <c r="N28" s="69"/>
      <c r="O28" s="69"/>
    </row>
    <row r="29" spans="1:15" ht="20.25" x14ac:dyDescent="0.25">
      <c r="A29" s="89"/>
      <c r="B29" s="89"/>
      <c r="C29" s="91"/>
      <c r="D29" s="91"/>
      <c r="E29" s="69"/>
      <c r="F29" s="69"/>
      <c r="G29" s="69"/>
      <c r="H29" s="69"/>
      <c r="I29" s="69"/>
      <c r="J29" s="69"/>
      <c r="K29" s="69"/>
      <c r="L29" s="69"/>
      <c r="M29" s="69"/>
      <c r="N29" s="69"/>
      <c r="O29" s="69"/>
    </row>
    <row r="30" spans="1:15" ht="20.25" x14ac:dyDescent="0.25">
      <c r="A30" s="89"/>
      <c r="B30" s="89"/>
      <c r="C30" s="91"/>
      <c r="D30" s="91"/>
      <c r="E30" s="69"/>
      <c r="F30" s="69"/>
      <c r="G30" s="69"/>
      <c r="H30" s="69"/>
      <c r="I30" s="69"/>
      <c r="J30" s="69"/>
      <c r="K30" s="69"/>
      <c r="L30" s="69"/>
      <c r="M30" s="69"/>
      <c r="N30" s="69"/>
      <c r="O30" s="69"/>
    </row>
    <row r="31" spans="1:15" ht="20.25" x14ac:dyDescent="0.25">
      <c r="A31" s="89"/>
      <c r="B31" s="89"/>
      <c r="C31" s="91"/>
      <c r="D31" s="91"/>
      <c r="E31" s="69"/>
      <c r="F31" s="69"/>
      <c r="G31" s="69"/>
      <c r="H31" s="69"/>
      <c r="I31" s="69"/>
      <c r="J31" s="69"/>
      <c r="K31" s="69"/>
      <c r="L31" s="69"/>
      <c r="M31" s="69"/>
      <c r="N31" s="69"/>
      <c r="O31" s="69"/>
    </row>
    <row r="32" spans="1:15" ht="20.25" x14ac:dyDescent="0.25">
      <c r="A32" s="89"/>
      <c r="B32" s="89"/>
      <c r="C32" s="91"/>
      <c r="D32" s="91"/>
      <c r="E32" s="69"/>
      <c r="F32" s="69"/>
      <c r="G32" s="69"/>
      <c r="H32" s="69"/>
      <c r="I32" s="69"/>
      <c r="J32" s="69"/>
      <c r="K32" s="69"/>
      <c r="L32" s="69"/>
      <c r="M32" s="69"/>
      <c r="N32" s="69"/>
      <c r="O32" s="69"/>
    </row>
    <row r="33" spans="1:15" ht="20.25" x14ac:dyDescent="0.25">
      <c r="A33" s="89"/>
      <c r="B33" s="89"/>
      <c r="C33" s="91"/>
      <c r="D33" s="91"/>
      <c r="E33" s="69"/>
      <c r="F33" s="69"/>
      <c r="G33" s="69"/>
      <c r="H33" s="69"/>
      <c r="I33" s="69"/>
      <c r="J33" s="69"/>
      <c r="K33" s="69"/>
      <c r="L33" s="69"/>
      <c r="M33" s="69"/>
      <c r="N33" s="69"/>
      <c r="O33" s="69"/>
    </row>
    <row r="34" spans="1:15" ht="20.25" x14ac:dyDescent="0.25">
      <c r="A34" s="89"/>
      <c r="B34" s="89"/>
      <c r="C34" s="91"/>
      <c r="D34" s="91"/>
      <c r="E34" s="69"/>
      <c r="F34" s="69"/>
      <c r="G34" s="69"/>
      <c r="H34" s="69"/>
      <c r="I34" s="69"/>
      <c r="J34" s="69"/>
      <c r="K34" s="69"/>
      <c r="L34" s="69"/>
      <c r="M34" s="69"/>
      <c r="N34" s="69"/>
      <c r="O34" s="69"/>
    </row>
    <row r="35" spans="1:15" ht="20.25" x14ac:dyDescent="0.25">
      <c r="A35" s="89"/>
      <c r="B35" s="89"/>
      <c r="C35" s="91"/>
      <c r="D35" s="91"/>
      <c r="E35" s="69"/>
      <c r="F35" s="69"/>
      <c r="G35" s="69"/>
      <c r="H35" s="69"/>
      <c r="I35" s="69"/>
      <c r="J35" s="69"/>
      <c r="K35" s="69"/>
      <c r="L35" s="69"/>
      <c r="M35" s="69"/>
      <c r="N35" s="69"/>
      <c r="O35" s="69"/>
    </row>
    <row r="36" spans="1:15" ht="20.25" x14ac:dyDescent="0.25">
      <c r="A36" s="89"/>
      <c r="B36" s="89"/>
      <c r="C36" s="91"/>
      <c r="D36" s="91"/>
      <c r="E36" s="69"/>
      <c r="F36" s="69"/>
      <c r="G36" s="69"/>
      <c r="H36" s="69"/>
      <c r="I36" s="69"/>
      <c r="J36" s="69"/>
      <c r="K36" s="69"/>
      <c r="L36" s="69"/>
      <c r="M36" s="69"/>
      <c r="N36" s="69"/>
      <c r="O36" s="69"/>
    </row>
    <row r="37" spans="1:15" ht="20.25" x14ac:dyDescent="0.25">
      <c r="A37" s="89"/>
      <c r="B37" s="89"/>
      <c r="C37" s="91"/>
      <c r="D37" s="91"/>
      <c r="E37" s="69"/>
      <c r="F37" s="69"/>
      <c r="G37" s="69"/>
      <c r="H37" s="69"/>
      <c r="I37" s="69"/>
      <c r="J37" s="69"/>
      <c r="K37" s="69"/>
      <c r="L37" s="69"/>
      <c r="M37" s="69"/>
      <c r="N37" s="69"/>
      <c r="O37" s="69"/>
    </row>
    <row r="38" spans="1:15" ht="20.25" x14ac:dyDescent="0.25">
      <c r="A38" s="89"/>
      <c r="B38" s="89"/>
      <c r="C38" s="91"/>
      <c r="D38" s="91"/>
      <c r="E38" s="69"/>
      <c r="F38" s="69"/>
      <c r="G38" s="69"/>
      <c r="H38" s="69"/>
      <c r="I38" s="69"/>
      <c r="J38" s="69"/>
      <c r="K38" s="69"/>
      <c r="L38" s="69"/>
      <c r="M38" s="69"/>
      <c r="N38" s="69"/>
      <c r="O38" s="69"/>
    </row>
    <row r="39" spans="1:15" ht="20.25" x14ac:dyDescent="0.25">
      <c r="A39" s="89"/>
      <c r="B39" s="89"/>
      <c r="C39" s="91"/>
      <c r="D39" s="91"/>
      <c r="E39" s="69"/>
      <c r="F39" s="69"/>
      <c r="G39" s="69"/>
      <c r="H39" s="69"/>
      <c r="I39" s="69"/>
      <c r="J39" s="69"/>
      <c r="K39" s="69"/>
      <c r="L39" s="69"/>
      <c r="M39" s="69"/>
      <c r="N39" s="69"/>
      <c r="O39" s="69"/>
    </row>
    <row r="40" spans="1:15" ht="20.25" x14ac:dyDescent="0.25">
      <c r="A40" s="89"/>
      <c r="B40" s="89"/>
      <c r="C40" s="91"/>
      <c r="D40" s="91"/>
      <c r="E40" s="69"/>
      <c r="F40" s="69"/>
      <c r="G40" s="69"/>
      <c r="H40" s="69"/>
      <c r="I40" s="69"/>
      <c r="J40" s="69"/>
      <c r="K40" s="69"/>
      <c r="L40" s="69"/>
      <c r="M40" s="69"/>
      <c r="N40" s="69"/>
      <c r="O40" s="69"/>
    </row>
    <row r="41" spans="1:15" ht="20.25" x14ac:dyDescent="0.25">
      <c r="A41" s="89"/>
      <c r="B41" s="89"/>
      <c r="C41" s="91"/>
      <c r="D41" s="91"/>
      <c r="E41" s="69"/>
      <c r="F41" s="69"/>
      <c r="G41" s="69"/>
      <c r="H41" s="69"/>
      <c r="I41" s="69"/>
      <c r="J41" s="69"/>
      <c r="K41" s="69"/>
      <c r="L41" s="69"/>
      <c r="M41" s="69"/>
      <c r="N41" s="69"/>
      <c r="O41" s="69"/>
    </row>
    <row r="42" spans="1:15" ht="20.25" x14ac:dyDescent="0.25">
      <c r="A42" s="89"/>
      <c r="B42" s="89"/>
      <c r="C42" s="91"/>
      <c r="D42" s="91"/>
      <c r="E42" s="69"/>
      <c r="F42" s="69"/>
      <c r="G42" s="69"/>
      <c r="H42" s="69"/>
      <c r="I42" s="69"/>
      <c r="J42" s="69"/>
      <c r="K42" s="69"/>
      <c r="L42" s="69"/>
      <c r="M42" s="69"/>
      <c r="N42" s="69"/>
      <c r="O42" s="69"/>
    </row>
    <row r="43" spans="1:15" ht="20.25" x14ac:dyDescent="0.25">
      <c r="A43" s="89"/>
      <c r="B43" s="89"/>
      <c r="C43" s="91"/>
      <c r="D43" s="91"/>
      <c r="E43" s="69"/>
      <c r="F43" s="69"/>
      <c r="G43" s="69"/>
      <c r="H43" s="69"/>
      <c r="I43" s="69"/>
      <c r="J43" s="69"/>
      <c r="K43" s="69"/>
      <c r="L43" s="69"/>
      <c r="M43" s="69"/>
      <c r="N43" s="69"/>
      <c r="O43" s="69"/>
    </row>
    <row r="44" spans="1:15" ht="20.25" x14ac:dyDescent="0.25">
      <c r="A44" s="89"/>
      <c r="B44" s="89"/>
      <c r="C44" s="91"/>
      <c r="D44" s="91"/>
      <c r="E44" s="69"/>
      <c r="F44" s="69"/>
      <c r="G44" s="69"/>
      <c r="H44" s="69"/>
      <c r="I44" s="69"/>
      <c r="J44" s="69"/>
      <c r="K44" s="69"/>
      <c r="L44" s="69"/>
      <c r="M44" s="69"/>
      <c r="N44" s="69"/>
      <c r="O44" s="69"/>
    </row>
    <row r="45" spans="1:15" ht="20.25" x14ac:dyDescent="0.25">
      <c r="A45" s="89"/>
      <c r="B45" s="89"/>
      <c r="C45" s="91"/>
      <c r="D45" s="91"/>
      <c r="E45" s="69"/>
      <c r="F45" s="69"/>
      <c r="G45" s="69"/>
      <c r="H45" s="69"/>
      <c r="I45" s="69"/>
      <c r="J45" s="69"/>
      <c r="K45" s="69"/>
      <c r="L45" s="69"/>
      <c r="M45" s="69"/>
      <c r="N45" s="69"/>
      <c r="O45" s="69"/>
    </row>
    <row r="46" spans="1:15" ht="20.25" x14ac:dyDescent="0.25">
      <c r="A46" s="89"/>
      <c r="B46" s="89"/>
      <c r="C46" s="91"/>
      <c r="D46" s="91"/>
      <c r="E46" s="69"/>
      <c r="F46" s="69"/>
      <c r="G46" s="69"/>
      <c r="H46" s="69"/>
      <c r="I46" s="69"/>
      <c r="J46" s="69"/>
      <c r="K46" s="69"/>
      <c r="L46" s="69"/>
      <c r="M46" s="69"/>
      <c r="N46" s="69"/>
      <c r="O46" s="69"/>
    </row>
    <row r="47" spans="1:15" ht="20.25" x14ac:dyDescent="0.25">
      <c r="A47" s="89"/>
      <c r="B47" s="89"/>
      <c r="C47" s="91"/>
      <c r="D47" s="91"/>
      <c r="E47" s="69"/>
      <c r="F47" s="69"/>
      <c r="G47" s="69"/>
      <c r="H47" s="69"/>
      <c r="I47" s="69"/>
      <c r="J47" s="69"/>
      <c r="K47" s="69"/>
      <c r="L47" s="69"/>
      <c r="M47" s="69"/>
      <c r="N47" s="69"/>
      <c r="O47" s="69"/>
    </row>
    <row r="48" spans="1:15" ht="20.25" x14ac:dyDescent="0.25">
      <c r="A48" s="89"/>
      <c r="B48" s="89"/>
      <c r="C48" s="91"/>
      <c r="D48" s="91"/>
      <c r="E48" s="69"/>
      <c r="F48" s="69"/>
      <c r="G48" s="69"/>
      <c r="H48" s="69"/>
      <c r="I48" s="69"/>
      <c r="J48" s="69"/>
      <c r="K48" s="69"/>
      <c r="L48" s="69"/>
      <c r="M48" s="69"/>
      <c r="N48" s="69"/>
      <c r="O48" s="69"/>
    </row>
    <row r="49" spans="1:15" ht="20.25" x14ac:dyDescent="0.25">
      <c r="A49" s="89"/>
      <c r="B49" s="89"/>
      <c r="C49" s="91"/>
      <c r="D49" s="91"/>
      <c r="E49" s="69"/>
      <c r="F49" s="69"/>
      <c r="G49" s="69"/>
      <c r="H49" s="69"/>
      <c r="I49" s="69"/>
      <c r="J49" s="69"/>
      <c r="K49" s="69"/>
      <c r="L49" s="69"/>
      <c r="M49" s="69"/>
      <c r="N49" s="69"/>
      <c r="O49" s="69"/>
    </row>
    <row r="50" spans="1:15" ht="20.25" x14ac:dyDescent="0.25">
      <c r="A50" s="89"/>
      <c r="B50" s="89"/>
      <c r="C50" s="91"/>
      <c r="D50" s="91"/>
      <c r="E50" s="69"/>
      <c r="F50" s="69"/>
      <c r="G50" s="69"/>
      <c r="H50" s="69"/>
      <c r="I50" s="69"/>
      <c r="J50" s="69"/>
      <c r="K50" s="69"/>
      <c r="L50" s="69"/>
      <c r="M50" s="69"/>
      <c r="N50" s="69"/>
      <c r="O50" s="69"/>
    </row>
    <row r="51" spans="1:15" ht="20.25" x14ac:dyDescent="0.25">
      <c r="A51" s="89"/>
      <c r="B51" s="89"/>
      <c r="C51" s="91"/>
      <c r="D51" s="91"/>
      <c r="E51" s="69"/>
      <c r="F51" s="69"/>
      <c r="G51" s="69"/>
      <c r="H51" s="69"/>
      <c r="I51" s="69"/>
      <c r="J51" s="69"/>
      <c r="K51" s="69"/>
      <c r="L51" s="69"/>
      <c r="M51" s="69"/>
      <c r="N51" s="69"/>
      <c r="O51" s="69"/>
    </row>
    <row r="52" spans="1:15" ht="20.25" x14ac:dyDescent="0.25">
      <c r="A52" s="89"/>
      <c r="B52" s="15"/>
      <c r="C52" s="20"/>
      <c r="D52" s="20"/>
    </row>
    <row r="53" spans="1:15" ht="20.25" x14ac:dyDescent="0.25">
      <c r="A53" s="89"/>
      <c r="B53" s="15"/>
      <c r="C53" s="20"/>
      <c r="D53" s="20"/>
    </row>
    <row r="54" spans="1:15" ht="20.25" x14ac:dyDescent="0.25">
      <c r="A54" s="89"/>
      <c r="B54" s="15"/>
      <c r="C54" s="20"/>
      <c r="D54" s="20"/>
    </row>
    <row r="55" spans="1:15" ht="20.25" x14ac:dyDescent="0.25">
      <c r="A55" s="89"/>
      <c r="B55" s="15"/>
      <c r="C55" s="20"/>
      <c r="D55" s="20"/>
    </row>
    <row r="56" spans="1:15" ht="20.25" x14ac:dyDescent="0.25">
      <c r="A56" s="89"/>
      <c r="B56" s="15"/>
      <c r="C56" s="20"/>
      <c r="D56" s="20"/>
    </row>
    <row r="57" spans="1:15" ht="20.25" x14ac:dyDescent="0.25">
      <c r="A57" s="89"/>
      <c r="B57" s="15"/>
      <c r="C57" s="20"/>
      <c r="D57" s="20"/>
    </row>
    <row r="58" spans="1:15" ht="20.25" x14ac:dyDescent="0.25">
      <c r="A58" s="89"/>
      <c r="B58" s="15"/>
      <c r="C58" s="20"/>
      <c r="D58" s="20"/>
    </row>
    <row r="59" spans="1:15" ht="20.25" x14ac:dyDescent="0.25">
      <c r="A59" s="89"/>
      <c r="B59" s="15"/>
      <c r="C59" s="20"/>
      <c r="D59" s="20"/>
    </row>
    <row r="60" spans="1:15" ht="20.25" x14ac:dyDescent="0.25">
      <c r="A60" s="89"/>
      <c r="B60" s="15"/>
      <c r="C60" s="20"/>
      <c r="D60" s="20"/>
    </row>
    <row r="61" spans="1:15" ht="20.25" x14ac:dyDescent="0.25">
      <c r="A61" s="89"/>
      <c r="B61" s="15"/>
      <c r="C61" s="20"/>
      <c r="D61" s="20"/>
    </row>
    <row r="62" spans="1:15" ht="20.25" x14ac:dyDescent="0.25">
      <c r="A62" s="89"/>
      <c r="B62" s="15"/>
      <c r="C62" s="20"/>
      <c r="D62" s="20"/>
    </row>
    <row r="63" spans="1:15" ht="20.25" x14ac:dyDescent="0.25">
      <c r="A63" s="89"/>
      <c r="B63" s="15"/>
      <c r="C63" s="20"/>
      <c r="D63" s="20"/>
    </row>
    <row r="64" spans="1:15" ht="20.25" x14ac:dyDescent="0.25">
      <c r="A64" s="89"/>
      <c r="B64" s="15"/>
      <c r="C64" s="20"/>
      <c r="D64" s="20"/>
    </row>
    <row r="65" spans="1:4" ht="20.25" x14ac:dyDescent="0.25">
      <c r="A65" s="89"/>
      <c r="B65" s="15"/>
      <c r="C65" s="20"/>
      <c r="D65" s="20"/>
    </row>
    <row r="66" spans="1:4" ht="20.25" x14ac:dyDescent="0.25">
      <c r="A66" s="89"/>
      <c r="B66" s="15"/>
      <c r="C66" s="20"/>
      <c r="D66" s="20"/>
    </row>
    <row r="67" spans="1:4" ht="20.25" x14ac:dyDescent="0.25">
      <c r="A67" s="89"/>
      <c r="B67" s="15"/>
      <c r="C67" s="20"/>
      <c r="D67" s="20"/>
    </row>
    <row r="68" spans="1:4" ht="20.25" x14ac:dyDescent="0.25">
      <c r="A68" s="89"/>
      <c r="B68" s="15"/>
      <c r="C68" s="20"/>
      <c r="D68" s="20"/>
    </row>
    <row r="69" spans="1:4" ht="20.25" x14ac:dyDescent="0.25">
      <c r="A69" s="89"/>
      <c r="B69" s="15"/>
      <c r="C69" s="20"/>
      <c r="D69" s="20"/>
    </row>
    <row r="70" spans="1:4" ht="20.25" x14ac:dyDescent="0.25">
      <c r="A70" s="89"/>
      <c r="B70" s="15"/>
      <c r="C70" s="20"/>
      <c r="D70" s="20"/>
    </row>
    <row r="71" spans="1:4" ht="20.25" x14ac:dyDescent="0.25">
      <c r="A71" s="89"/>
      <c r="B71" s="15"/>
      <c r="C71" s="20"/>
      <c r="D71" s="20"/>
    </row>
    <row r="72" spans="1:4" ht="20.25" x14ac:dyDescent="0.25">
      <c r="A72" s="89"/>
      <c r="B72" s="15"/>
      <c r="C72" s="20"/>
      <c r="D72" s="20"/>
    </row>
    <row r="73" spans="1:4" ht="20.25" x14ac:dyDescent="0.25">
      <c r="A73" s="89"/>
      <c r="B73" s="15"/>
      <c r="C73" s="20"/>
      <c r="D73" s="20"/>
    </row>
    <row r="74" spans="1:4" ht="20.25" x14ac:dyDescent="0.25">
      <c r="A74" s="89"/>
      <c r="B74" s="15"/>
      <c r="C74" s="20"/>
      <c r="D74" s="20"/>
    </row>
    <row r="75" spans="1:4" ht="20.25" x14ac:dyDescent="0.25">
      <c r="A75" s="89"/>
      <c r="B75" s="15"/>
      <c r="C75" s="20"/>
      <c r="D75" s="20"/>
    </row>
    <row r="76" spans="1:4" ht="20.25" x14ac:dyDescent="0.25">
      <c r="A76" s="89"/>
      <c r="B76" s="15"/>
      <c r="C76" s="20"/>
      <c r="D76" s="20"/>
    </row>
    <row r="77" spans="1:4" ht="20.25" x14ac:dyDescent="0.25">
      <c r="A77" s="89"/>
      <c r="B77" s="15"/>
      <c r="C77" s="20"/>
      <c r="D77" s="20"/>
    </row>
    <row r="78" spans="1:4" ht="20.25" x14ac:dyDescent="0.25">
      <c r="A78" s="89"/>
      <c r="B78" s="15"/>
      <c r="C78" s="20"/>
      <c r="D78" s="20"/>
    </row>
    <row r="79" spans="1:4" ht="20.25" x14ac:dyDescent="0.25">
      <c r="A79" s="89"/>
      <c r="B79" s="15"/>
      <c r="C79" s="20"/>
      <c r="D79" s="20"/>
    </row>
    <row r="80" spans="1:4" ht="20.25" x14ac:dyDescent="0.25">
      <c r="A80" s="89"/>
      <c r="B80" s="15"/>
      <c r="C80" s="20"/>
      <c r="D80" s="20"/>
    </row>
    <row r="81" spans="1:4" ht="20.25" x14ac:dyDescent="0.25">
      <c r="A81" s="89"/>
      <c r="B81" s="15"/>
      <c r="C81" s="20"/>
      <c r="D81" s="20"/>
    </row>
    <row r="82" spans="1:4" ht="20.25" x14ac:dyDescent="0.25">
      <c r="A82" s="89"/>
      <c r="B82" s="15"/>
      <c r="C82" s="20"/>
      <c r="D82" s="20"/>
    </row>
    <row r="83" spans="1:4" ht="20.25" x14ac:dyDescent="0.25">
      <c r="A83" s="89"/>
      <c r="B83" s="15"/>
      <c r="C83" s="20"/>
      <c r="D83" s="20"/>
    </row>
    <row r="84" spans="1:4" ht="20.25" x14ac:dyDescent="0.25">
      <c r="A84" s="89"/>
      <c r="B84" s="15"/>
      <c r="C84" s="20"/>
      <c r="D84" s="20"/>
    </row>
    <row r="85" spans="1:4" ht="20.25" x14ac:dyDescent="0.25">
      <c r="A85" s="89"/>
      <c r="B85" s="15"/>
      <c r="C85" s="20"/>
      <c r="D85" s="20"/>
    </row>
    <row r="86" spans="1:4" ht="20.25" x14ac:dyDescent="0.25">
      <c r="A86" s="89"/>
      <c r="B86" s="15"/>
      <c r="C86" s="20"/>
      <c r="D86" s="20"/>
    </row>
    <row r="87" spans="1:4" ht="20.25" x14ac:dyDescent="0.25">
      <c r="A87" s="89"/>
      <c r="B87" s="15"/>
      <c r="C87" s="20"/>
      <c r="D87" s="20"/>
    </row>
    <row r="88" spans="1:4" ht="20.25" x14ac:dyDescent="0.25">
      <c r="A88" s="89"/>
      <c r="B88" s="15"/>
      <c r="C88" s="20"/>
      <c r="D88" s="20"/>
    </row>
    <row r="89" spans="1:4" ht="20.25" x14ac:dyDescent="0.25">
      <c r="A89" s="89"/>
      <c r="B89" s="15"/>
      <c r="C89" s="20"/>
      <c r="D89" s="20"/>
    </row>
    <row r="90" spans="1:4" ht="20.25" x14ac:dyDescent="0.25">
      <c r="A90" s="89"/>
      <c r="B90" s="15"/>
      <c r="C90" s="20"/>
      <c r="D90" s="20"/>
    </row>
    <row r="91" spans="1:4" ht="20.25" x14ac:dyDescent="0.25">
      <c r="A91" s="89"/>
      <c r="B91" s="15"/>
      <c r="C91" s="20"/>
      <c r="D91" s="20"/>
    </row>
    <row r="92" spans="1:4" ht="20.25" x14ac:dyDescent="0.25">
      <c r="A92" s="89"/>
      <c r="B92" s="15"/>
      <c r="C92" s="20"/>
      <c r="D92" s="20"/>
    </row>
    <row r="93" spans="1:4" ht="20.25" x14ac:dyDescent="0.25">
      <c r="A93" s="89"/>
      <c r="B93" s="15"/>
      <c r="C93" s="20"/>
      <c r="D93" s="20"/>
    </row>
    <row r="94" spans="1:4" ht="20.25" x14ac:dyDescent="0.25">
      <c r="A94" s="89"/>
      <c r="B94" s="15"/>
      <c r="C94" s="20"/>
      <c r="D94" s="20"/>
    </row>
    <row r="95" spans="1:4" ht="20.25" x14ac:dyDescent="0.25">
      <c r="A95" s="89"/>
      <c r="B95" s="15"/>
      <c r="C95" s="20"/>
      <c r="D95" s="20"/>
    </row>
    <row r="96" spans="1:4" ht="20.25" x14ac:dyDescent="0.25">
      <c r="A96" s="89"/>
      <c r="B96" s="15"/>
      <c r="C96" s="20"/>
      <c r="D96" s="20"/>
    </row>
    <row r="97" spans="1:4" ht="20.25" x14ac:dyDescent="0.25">
      <c r="A97" s="89"/>
      <c r="B97" s="15"/>
      <c r="C97" s="20"/>
      <c r="D97" s="20"/>
    </row>
    <row r="98" spans="1:4" ht="20.25" x14ac:dyDescent="0.25">
      <c r="A98" s="89"/>
      <c r="B98" s="15"/>
      <c r="C98" s="20"/>
      <c r="D98" s="20"/>
    </row>
    <row r="99" spans="1:4" ht="20.25" x14ac:dyDescent="0.25">
      <c r="A99" s="89"/>
      <c r="B99" s="15"/>
      <c r="C99" s="20"/>
      <c r="D99" s="20"/>
    </row>
    <row r="100" spans="1:4" ht="20.25" x14ac:dyDescent="0.25">
      <c r="A100" s="89"/>
      <c r="B100" s="15"/>
      <c r="C100" s="20"/>
      <c r="D100" s="20"/>
    </row>
    <row r="101" spans="1:4" ht="20.25" x14ac:dyDescent="0.25">
      <c r="A101" s="89"/>
      <c r="B101" s="15"/>
      <c r="C101" s="20"/>
      <c r="D101" s="20"/>
    </row>
    <row r="102" spans="1:4" ht="20.25" x14ac:dyDescent="0.25">
      <c r="A102" s="89"/>
      <c r="B102" s="15"/>
      <c r="C102" s="20"/>
      <c r="D102" s="20"/>
    </row>
    <row r="103" spans="1:4" ht="20.25" x14ac:dyDescent="0.25">
      <c r="A103" s="89"/>
      <c r="B103" s="15"/>
      <c r="C103" s="20"/>
      <c r="D103" s="20"/>
    </row>
    <row r="104" spans="1:4" ht="20.25" x14ac:dyDescent="0.25">
      <c r="A104" s="89"/>
      <c r="B104" s="15"/>
      <c r="C104" s="20"/>
      <c r="D104" s="20"/>
    </row>
    <row r="105" spans="1:4" ht="20.25" x14ac:dyDescent="0.25">
      <c r="A105" s="89"/>
      <c r="B105" s="15"/>
      <c r="C105" s="20"/>
      <c r="D105" s="20"/>
    </row>
    <row r="106" spans="1:4" ht="20.25" x14ac:dyDescent="0.25">
      <c r="A106" s="89"/>
      <c r="B106" s="15"/>
      <c r="C106" s="20"/>
      <c r="D106" s="20"/>
    </row>
    <row r="107" spans="1:4" ht="20.25" x14ac:dyDescent="0.25">
      <c r="A107" s="89"/>
      <c r="B107" s="15"/>
      <c r="C107" s="20"/>
      <c r="D107" s="20"/>
    </row>
    <row r="108" spans="1:4" ht="20.25" x14ac:dyDescent="0.25">
      <c r="A108" s="89"/>
      <c r="B108" s="15"/>
      <c r="C108" s="20"/>
      <c r="D108" s="20"/>
    </row>
    <row r="109" spans="1:4" ht="20.25" x14ac:dyDescent="0.25">
      <c r="A109" s="89"/>
      <c r="B109" s="15"/>
      <c r="C109" s="20"/>
      <c r="D109" s="20"/>
    </row>
    <row r="110" spans="1:4" ht="20.25" x14ac:dyDescent="0.25">
      <c r="A110" s="89"/>
      <c r="B110" s="15"/>
      <c r="C110" s="20"/>
      <c r="D110" s="20"/>
    </row>
    <row r="111" spans="1:4" ht="20.25" x14ac:dyDescent="0.25">
      <c r="A111" s="89"/>
      <c r="B111" s="15"/>
      <c r="C111" s="20"/>
      <c r="D111" s="20"/>
    </row>
    <row r="112" spans="1:4" ht="20.25" x14ac:dyDescent="0.25">
      <c r="A112" s="89"/>
      <c r="B112" s="15"/>
      <c r="C112" s="20"/>
      <c r="D112" s="20"/>
    </row>
    <row r="113" spans="1:4" ht="20.25" x14ac:dyDescent="0.25">
      <c r="A113" s="89"/>
      <c r="B113" s="15"/>
      <c r="C113" s="20"/>
      <c r="D113" s="20"/>
    </row>
    <row r="114" spans="1:4" ht="20.25" x14ac:dyDescent="0.25">
      <c r="A114" s="89"/>
      <c r="B114" s="15"/>
      <c r="C114" s="20"/>
      <c r="D114" s="20"/>
    </row>
    <row r="115" spans="1:4" ht="20.25" x14ac:dyDescent="0.25">
      <c r="A115" s="89"/>
      <c r="B115" s="15"/>
      <c r="C115" s="20"/>
      <c r="D115" s="20"/>
    </row>
    <row r="116" spans="1:4" ht="20.25" x14ac:dyDescent="0.25">
      <c r="A116" s="89"/>
      <c r="B116" s="15"/>
      <c r="C116" s="20"/>
      <c r="D116" s="20"/>
    </row>
    <row r="117" spans="1:4" ht="20.25" x14ac:dyDescent="0.25">
      <c r="A117" s="89"/>
      <c r="B117" s="15"/>
      <c r="C117" s="20"/>
      <c r="D117" s="20"/>
    </row>
    <row r="118" spans="1:4" ht="20.25" x14ac:dyDescent="0.25">
      <c r="A118" s="89"/>
      <c r="B118" s="15"/>
      <c r="C118" s="20"/>
      <c r="D118" s="20"/>
    </row>
    <row r="119" spans="1:4" ht="20.25" x14ac:dyDescent="0.25">
      <c r="A119" s="89"/>
      <c r="B119" s="15"/>
      <c r="C119" s="20"/>
      <c r="D119" s="20"/>
    </row>
    <row r="120" spans="1:4" ht="20.25" x14ac:dyDescent="0.25">
      <c r="A120" s="89"/>
      <c r="B120" s="15"/>
      <c r="C120" s="20"/>
      <c r="D120" s="20"/>
    </row>
    <row r="121" spans="1:4" ht="20.25" x14ac:dyDescent="0.25">
      <c r="A121" s="89"/>
      <c r="B121" s="15"/>
      <c r="C121" s="20"/>
      <c r="D121" s="20"/>
    </row>
    <row r="122" spans="1:4" ht="20.25" x14ac:dyDescent="0.25">
      <c r="A122" s="89"/>
      <c r="B122" s="15"/>
      <c r="C122" s="20"/>
      <c r="D122" s="20"/>
    </row>
    <row r="123" spans="1:4" ht="20.25" x14ac:dyDescent="0.25">
      <c r="A123" s="89"/>
      <c r="B123" s="15"/>
      <c r="C123" s="20"/>
      <c r="D123" s="20"/>
    </row>
    <row r="124" spans="1:4" ht="20.25" x14ac:dyDescent="0.25">
      <c r="A124" s="89"/>
      <c r="B124" s="15"/>
      <c r="C124" s="20"/>
      <c r="D124" s="20"/>
    </row>
    <row r="125" spans="1:4" ht="20.25" x14ac:dyDescent="0.25">
      <c r="A125" s="89"/>
      <c r="B125" s="15"/>
      <c r="C125" s="20"/>
      <c r="D125" s="20"/>
    </row>
    <row r="126" spans="1:4" ht="20.25" x14ac:dyDescent="0.25">
      <c r="A126" s="89"/>
      <c r="B126" s="15"/>
      <c r="C126" s="20"/>
      <c r="D126" s="20"/>
    </row>
    <row r="127" spans="1:4" ht="20.25" x14ac:dyDescent="0.25">
      <c r="A127" s="89"/>
      <c r="B127" s="15"/>
      <c r="C127" s="20"/>
      <c r="D127" s="20"/>
    </row>
    <row r="128" spans="1:4" ht="20.25" x14ac:dyDescent="0.25">
      <c r="A128" s="89"/>
      <c r="B128" s="15"/>
      <c r="C128" s="20"/>
      <c r="D128" s="20"/>
    </row>
    <row r="129" spans="1:4" ht="20.25" x14ac:dyDescent="0.25">
      <c r="A129" s="89"/>
      <c r="B129" s="15"/>
      <c r="C129" s="20"/>
      <c r="D129" s="20"/>
    </row>
    <row r="130" spans="1:4" ht="20.25" x14ac:dyDescent="0.25">
      <c r="A130" s="89"/>
      <c r="B130" s="15"/>
      <c r="C130" s="20"/>
      <c r="D130" s="20"/>
    </row>
    <row r="131" spans="1:4" ht="20.25" x14ac:dyDescent="0.25">
      <c r="A131" s="89"/>
      <c r="B131" s="15"/>
      <c r="C131" s="20"/>
      <c r="D131" s="20"/>
    </row>
    <row r="132" spans="1:4" ht="20.25" x14ac:dyDescent="0.25">
      <c r="A132" s="89"/>
      <c r="B132" s="15"/>
      <c r="C132" s="20"/>
      <c r="D132" s="20"/>
    </row>
    <row r="133" spans="1:4" ht="20.25" x14ac:dyDescent="0.25">
      <c r="A133" s="89"/>
      <c r="B133" s="15"/>
      <c r="C133" s="20"/>
      <c r="D133" s="20"/>
    </row>
    <row r="134" spans="1:4" ht="20.25" x14ac:dyDescent="0.25">
      <c r="A134" s="89"/>
      <c r="B134" s="15"/>
      <c r="C134" s="20"/>
      <c r="D134" s="20"/>
    </row>
    <row r="135" spans="1:4" ht="20.25" x14ac:dyDescent="0.25">
      <c r="A135" s="89"/>
      <c r="B135" s="15"/>
      <c r="C135" s="20"/>
      <c r="D135" s="20"/>
    </row>
    <row r="136" spans="1:4" ht="20.25" x14ac:dyDescent="0.25">
      <c r="A136" s="89"/>
      <c r="B136" s="15"/>
      <c r="C136" s="20"/>
      <c r="D136" s="20"/>
    </row>
    <row r="137" spans="1:4" ht="20.25" x14ac:dyDescent="0.25">
      <c r="A137" s="89"/>
      <c r="B137" s="15"/>
      <c r="C137" s="20"/>
      <c r="D137" s="20"/>
    </row>
    <row r="138" spans="1:4" ht="20.25" x14ac:dyDescent="0.25">
      <c r="A138" s="89"/>
      <c r="B138" s="15"/>
      <c r="C138" s="20"/>
      <c r="D138" s="20"/>
    </row>
    <row r="139" spans="1:4" ht="20.25" x14ac:dyDescent="0.25">
      <c r="A139" s="89"/>
      <c r="B139" s="15"/>
      <c r="C139" s="20"/>
      <c r="D139" s="20"/>
    </row>
    <row r="140" spans="1:4" ht="20.25" x14ac:dyDescent="0.25">
      <c r="A140" s="89"/>
      <c r="B140" s="15"/>
      <c r="C140" s="20"/>
      <c r="D140" s="20"/>
    </row>
    <row r="141" spans="1:4" ht="20.25" x14ac:dyDescent="0.25">
      <c r="A141" s="89"/>
      <c r="B141" s="15"/>
      <c r="C141" s="20"/>
      <c r="D141" s="20"/>
    </row>
    <row r="142" spans="1:4" ht="20.25" x14ac:dyDescent="0.25">
      <c r="A142" s="89"/>
      <c r="B142" s="15"/>
      <c r="C142" s="20"/>
      <c r="D142" s="20"/>
    </row>
    <row r="143" spans="1:4" ht="20.25" x14ac:dyDescent="0.25">
      <c r="A143" s="89"/>
      <c r="B143" s="15"/>
      <c r="C143" s="20"/>
      <c r="D143" s="20"/>
    </row>
    <row r="144" spans="1:4" ht="20.25" x14ac:dyDescent="0.25">
      <c r="A144" s="89"/>
      <c r="B144" s="15"/>
      <c r="C144" s="20"/>
      <c r="D144" s="20"/>
    </row>
    <row r="145" spans="1:4" ht="20.25" x14ac:dyDescent="0.25">
      <c r="A145" s="89"/>
      <c r="B145" s="15"/>
      <c r="C145" s="20"/>
      <c r="D145" s="20"/>
    </row>
    <row r="146" spans="1:4" ht="20.25" x14ac:dyDescent="0.25">
      <c r="A146" s="89"/>
      <c r="B146" s="15"/>
      <c r="C146" s="20"/>
      <c r="D146" s="20"/>
    </row>
    <row r="147" spans="1:4" ht="20.25" x14ac:dyDescent="0.25">
      <c r="A147" s="89"/>
      <c r="B147" s="15"/>
      <c r="C147" s="20"/>
      <c r="D147" s="20"/>
    </row>
    <row r="148" spans="1:4" ht="20.25" x14ac:dyDescent="0.25">
      <c r="A148" s="89"/>
      <c r="B148" s="15"/>
      <c r="C148" s="20"/>
      <c r="D148" s="20"/>
    </row>
    <row r="149" spans="1:4" ht="20.25" x14ac:dyDescent="0.25">
      <c r="A149" s="89"/>
      <c r="B149" s="15"/>
      <c r="C149" s="20"/>
      <c r="D149" s="20"/>
    </row>
    <row r="150" spans="1:4" ht="20.25" x14ac:dyDescent="0.25">
      <c r="A150" s="89"/>
      <c r="B150" s="15"/>
      <c r="C150" s="20"/>
      <c r="D150" s="20"/>
    </row>
    <row r="151" spans="1:4" ht="20.25" x14ac:dyDescent="0.25">
      <c r="A151" s="89"/>
      <c r="B151" s="15"/>
      <c r="C151" s="20"/>
      <c r="D151" s="20"/>
    </row>
    <row r="152" spans="1:4" ht="20.25" x14ac:dyDescent="0.25">
      <c r="A152" s="89"/>
      <c r="B152" s="15"/>
      <c r="C152" s="20"/>
      <c r="D152" s="20"/>
    </row>
    <row r="153" spans="1:4" ht="20.25" x14ac:dyDescent="0.25">
      <c r="A153" s="89"/>
      <c r="B153" s="15"/>
      <c r="C153" s="20"/>
      <c r="D153" s="20"/>
    </row>
    <row r="154" spans="1:4" ht="20.25" x14ac:dyDescent="0.25">
      <c r="A154" s="89"/>
      <c r="B154" s="15"/>
      <c r="C154" s="20"/>
      <c r="D154" s="20"/>
    </row>
    <row r="155" spans="1:4" ht="20.25" x14ac:dyDescent="0.25">
      <c r="A155" s="89"/>
      <c r="B155" s="15"/>
      <c r="C155" s="20"/>
      <c r="D155" s="20"/>
    </row>
    <row r="156" spans="1:4" ht="20.25" x14ac:dyDescent="0.25">
      <c r="A156" s="89"/>
      <c r="B156" s="15"/>
      <c r="C156" s="20"/>
      <c r="D156" s="20"/>
    </row>
    <row r="157" spans="1:4" ht="20.25" x14ac:dyDescent="0.25">
      <c r="A157" s="89"/>
      <c r="B157" s="15"/>
      <c r="C157" s="20"/>
      <c r="D157" s="20"/>
    </row>
    <row r="158" spans="1:4" ht="20.25" x14ac:dyDescent="0.25">
      <c r="A158" s="89"/>
      <c r="B158" s="15"/>
      <c r="C158" s="20"/>
      <c r="D158" s="20"/>
    </row>
    <row r="159" spans="1:4" ht="20.25" x14ac:dyDescent="0.25">
      <c r="A159" s="89"/>
      <c r="B159" s="15"/>
      <c r="C159" s="20"/>
      <c r="D159" s="20"/>
    </row>
    <row r="160" spans="1:4" ht="20.25" x14ac:dyDescent="0.25">
      <c r="A160" s="89"/>
      <c r="B160" s="15"/>
      <c r="C160" s="20"/>
      <c r="D160" s="20"/>
    </row>
    <row r="161" spans="1:4" ht="20.25" x14ac:dyDescent="0.25">
      <c r="A161" s="89"/>
      <c r="B161" s="15"/>
      <c r="C161" s="20"/>
      <c r="D161" s="20"/>
    </row>
    <row r="162" spans="1:4" ht="20.25" x14ac:dyDescent="0.25">
      <c r="A162" s="89"/>
      <c r="B162" s="15"/>
      <c r="C162" s="20"/>
      <c r="D162" s="20"/>
    </row>
    <row r="163" spans="1:4" ht="20.25" x14ac:dyDescent="0.25">
      <c r="A163" s="89"/>
      <c r="B163" s="15"/>
      <c r="C163" s="20"/>
      <c r="D163" s="20"/>
    </row>
    <row r="164" spans="1:4" ht="20.25" x14ac:dyDescent="0.25">
      <c r="A164" s="89"/>
      <c r="B164" s="15"/>
      <c r="C164" s="20"/>
      <c r="D164" s="20"/>
    </row>
    <row r="165" spans="1:4" ht="20.25" x14ac:dyDescent="0.25">
      <c r="A165" s="89"/>
      <c r="B165" s="15"/>
      <c r="C165" s="20"/>
      <c r="D165" s="20"/>
    </row>
    <row r="166" spans="1:4" ht="20.25" x14ac:dyDescent="0.25">
      <c r="A166" s="89"/>
      <c r="B166" s="15"/>
      <c r="C166" s="20"/>
      <c r="D166" s="20"/>
    </row>
    <row r="167" spans="1:4" ht="20.25" x14ac:dyDescent="0.25">
      <c r="A167" s="89"/>
      <c r="B167" s="15"/>
      <c r="C167" s="20"/>
      <c r="D167" s="20"/>
    </row>
    <row r="168" spans="1:4" ht="20.25" x14ac:dyDescent="0.25">
      <c r="A168" s="89"/>
      <c r="B168" s="15"/>
      <c r="C168" s="20"/>
      <c r="D168" s="20"/>
    </row>
    <row r="169" spans="1:4" ht="20.25" x14ac:dyDescent="0.25">
      <c r="A169" s="89"/>
      <c r="B169" s="15"/>
      <c r="C169" s="20"/>
      <c r="D169" s="20"/>
    </row>
    <row r="170" spans="1:4" ht="20.25" x14ac:dyDescent="0.25">
      <c r="A170" s="89"/>
      <c r="B170" s="15"/>
      <c r="C170" s="20"/>
      <c r="D170" s="20"/>
    </row>
    <row r="171" spans="1:4" ht="20.25" x14ac:dyDescent="0.25">
      <c r="A171" s="89"/>
      <c r="B171" s="15"/>
      <c r="C171" s="20"/>
      <c r="D171" s="20"/>
    </row>
    <row r="172" spans="1:4" ht="20.25" x14ac:dyDescent="0.25">
      <c r="A172" s="89"/>
      <c r="B172" s="15"/>
      <c r="C172" s="20"/>
      <c r="D172" s="20"/>
    </row>
    <row r="173" spans="1:4" ht="20.25" x14ac:dyDescent="0.25">
      <c r="A173" s="89"/>
      <c r="B173" s="15"/>
      <c r="C173" s="20"/>
      <c r="D173" s="20"/>
    </row>
    <row r="174" spans="1:4" ht="20.25" x14ac:dyDescent="0.25">
      <c r="A174" s="89"/>
      <c r="B174" s="15"/>
      <c r="C174" s="20"/>
      <c r="D174" s="20"/>
    </row>
    <row r="175" spans="1:4" ht="20.25" x14ac:dyDescent="0.25">
      <c r="A175" s="89"/>
      <c r="B175" s="15"/>
      <c r="C175" s="20"/>
      <c r="D175" s="20"/>
    </row>
    <row r="176" spans="1:4" ht="20.25" x14ac:dyDescent="0.25">
      <c r="A176" s="89"/>
      <c r="B176" s="15"/>
      <c r="C176" s="20"/>
      <c r="D176" s="20"/>
    </row>
    <row r="177" spans="1:4" ht="20.25" x14ac:dyDescent="0.25">
      <c r="A177" s="89"/>
      <c r="B177" s="15"/>
      <c r="C177" s="20"/>
      <c r="D177" s="20"/>
    </row>
    <row r="178" spans="1:4" ht="20.25" x14ac:dyDescent="0.25">
      <c r="A178" s="89"/>
      <c r="B178" s="15"/>
      <c r="C178" s="20"/>
      <c r="D178" s="20"/>
    </row>
    <row r="179" spans="1:4" ht="20.25" x14ac:dyDescent="0.25">
      <c r="A179" s="89"/>
      <c r="B179" s="15"/>
      <c r="C179" s="20"/>
      <c r="D179" s="20"/>
    </row>
    <row r="180" spans="1:4" ht="20.25" x14ac:dyDescent="0.25">
      <c r="A180" s="89"/>
      <c r="B180" s="15"/>
      <c r="C180" s="20"/>
      <c r="D180" s="20"/>
    </row>
    <row r="181" spans="1:4" ht="20.25" x14ac:dyDescent="0.25">
      <c r="A181" s="89"/>
      <c r="B181" s="15"/>
      <c r="C181" s="20"/>
      <c r="D181" s="20"/>
    </row>
    <row r="182" spans="1:4" ht="20.25" x14ac:dyDescent="0.25">
      <c r="A182" s="89"/>
      <c r="B182" s="15"/>
      <c r="C182" s="20"/>
      <c r="D182" s="20"/>
    </row>
    <row r="183" spans="1:4" ht="20.25" x14ac:dyDescent="0.25">
      <c r="A183" s="89"/>
      <c r="B183" s="15"/>
      <c r="C183" s="20"/>
      <c r="D183" s="20"/>
    </row>
    <row r="184" spans="1:4" ht="20.25" x14ac:dyDescent="0.25">
      <c r="A184" s="89"/>
      <c r="B184" s="15"/>
      <c r="C184" s="20"/>
      <c r="D184" s="20"/>
    </row>
    <row r="185" spans="1:4" ht="20.25" x14ac:dyDescent="0.25">
      <c r="A185" s="89"/>
      <c r="B185" s="15"/>
      <c r="C185" s="20"/>
      <c r="D185" s="20"/>
    </row>
    <row r="186" spans="1:4" ht="20.25" x14ac:dyDescent="0.25">
      <c r="A186" s="89"/>
      <c r="B186" s="15"/>
      <c r="C186" s="20"/>
      <c r="D186" s="20"/>
    </row>
    <row r="187" spans="1:4" ht="20.25" x14ac:dyDescent="0.25">
      <c r="A187" s="89"/>
      <c r="B187" s="15"/>
      <c r="C187" s="20"/>
      <c r="D187" s="20"/>
    </row>
    <row r="188" spans="1:4" ht="20.25" x14ac:dyDescent="0.25">
      <c r="A188" s="89"/>
      <c r="B188" s="15"/>
      <c r="C188" s="20"/>
      <c r="D188" s="20"/>
    </row>
    <row r="189" spans="1:4" ht="20.25" x14ac:dyDescent="0.25">
      <c r="A189" s="89"/>
      <c r="B189" s="15"/>
      <c r="C189" s="20"/>
      <c r="D189" s="20"/>
    </row>
    <row r="190" spans="1:4" ht="20.25" x14ac:dyDescent="0.25">
      <c r="A190" s="89"/>
      <c r="B190" s="15"/>
      <c r="C190" s="20"/>
      <c r="D190" s="20"/>
    </row>
    <row r="191" spans="1:4" ht="20.25" x14ac:dyDescent="0.25">
      <c r="A191" s="89"/>
      <c r="B191" s="15"/>
      <c r="C191" s="20"/>
      <c r="D191" s="20"/>
    </row>
    <row r="192" spans="1:4" ht="20.25" x14ac:dyDescent="0.25">
      <c r="A192" s="89"/>
      <c r="B192" s="15"/>
      <c r="C192" s="20"/>
      <c r="D192" s="20"/>
    </row>
    <row r="193" spans="1:4" ht="20.25" x14ac:dyDescent="0.25">
      <c r="A193" s="89"/>
      <c r="B193" s="15"/>
      <c r="C193" s="20"/>
      <c r="D193" s="20"/>
    </row>
    <row r="194" spans="1:4" ht="20.25" x14ac:dyDescent="0.25">
      <c r="A194" s="89"/>
      <c r="B194" s="15"/>
      <c r="C194" s="20"/>
      <c r="D194" s="20"/>
    </row>
    <row r="195" spans="1:4" ht="20.25" x14ac:dyDescent="0.25">
      <c r="A195" s="89"/>
      <c r="B195" s="15"/>
      <c r="C195" s="20"/>
      <c r="D195" s="20"/>
    </row>
    <row r="196" spans="1:4" ht="20.25" x14ac:dyDescent="0.25">
      <c r="A196" s="89"/>
      <c r="B196" s="15"/>
      <c r="C196" s="20"/>
      <c r="D196" s="20"/>
    </row>
    <row r="197" spans="1:4" ht="20.25" x14ac:dyDescent="0.25">
      <c r="A197" s="89"/>
      <c r="B197" s="15"/>
      <c r="C197" s="20"/>
      <c r="D197" s="20"/>
    </row>
    <row r="198" spans="1:4" ht="20.25" x14ac:dyDescent="0.25">
      <c r="A198" s="89"/>
      <c r="B198" s="15"/>
      <c r="C198" s="20"/>
      <c r="D198" s="20"/>
    </row>
    <row r="199" spans="1:4" ht="20.25" x14ac:dyDescent="0.25">
      <c r="A199" s="89"/>
      <c r="B199" s="15"/>
      <c r="C199" s="20"/>
      <c r="D199" s="20"/>
    </row>
    <row r="200" spans="1:4" ht="20.25" x14ac:dyDescent="0.25">
      <c r="A200" s="89"/>
      <c r="B200" s="15"/>
      <c r="C200" s="20"/>
      <c r="D200" s="20"/>
    </row>
    <row r="201" spans="1:4" ht="20.25" x14ac:dyDescent="0.25">
      <c r="A201" s="89"/>
      <c r="B201" s="15"/>
      <c r="C201" s="20"/>
      <c r="D201" s="20"/>
    </row>
    <row r="202" spans="1:4" ht="20.25" x14ac:dyDescent="0.25">
      <c r="A202" s="89"/>
      <c r="B202" s="15"/>
      <c r="C202" s="20"/>
      <c r="D202" s="20"/>
    </row>
    <row r="203" spans="1:4" ht="20.25" x14ac:dyDescent="0.25">
      <c r="A203" s="89"/>
      <c r="B203" s="15"/>
      <c r="C203" s="20"/>
      <c r="D203" s="20"/>
    </row>
    <row r="204" spans="1:4" ht="20.25" x14ac:dyDescent="0.25">
      <c r="A204" s="89"/>
      <c r="B204" s="15"/>
      <c r="C204" s="20"/>
      <c r="D204" s="20"/>
    </row>
    <row r="205" spans="1:4" ht="20.25" x14ac:dyDescent="0.25">
      <c r="A205" s="89"/>
      <c r="B205" s="15"/>
      <c r="C205" s="20"/>
      <c r="D205" s="20"/>
    </row>
    <row r="206" spans="1:4" ht="20.25" x14ac:dyDescent="0.25">
      <c r="A206" s="89"/>
      <c r="B206" s="15"/>
      <c r="C206" s="20"/>
      <c r="D206" s="20"/>
    </row>
    <row r="207" spans="1:4" ht="20.25" x14ac:dyDescent="0.25">
      <c r="A207" s="89"/>
      <c r="B207" s="15"/>
      <c r="C207" s="20"/>
      <c r="D207" s="20"/>
    </row>
    <row r="208" spans="1:4" x14ac:dyDescent="0.25">
      <c r="A208" s="69"/>
      <c r="B208" s="15"/>
      <c r="C208" s="15"/>
      <c r="D208" s="15"/>
    </row>
    <row r="209" spans="1:8" ht="20.25" x14ac:dyDescent="0.25">
      <c r="A209" s="69"/>
      <c r="B209" s="16" t="s">
        <v>88</v>
      </c>
      <c r="C209" s="16" t="s">
        <v>143</v>
      </c>
      <c r="D209" s="19" t="s">
        <v>88</v>
      </c>
      <c r="E209" s="19" t="s">
        <v>143</v>
      </c>
    </row>
    <row r="210" spans="1:8" ht="21" x14ac:dyDescent="0.35">
      <c r="A210" s="69"/>
      <c r="B210" s="17" t="s">
        <v>90</v>
      </c>
      <c r="C210" s="17"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69"/>
      <c r="B211" s="17" t="s">
        <v>90</v>
      </c>
      <c r="C211" s="17" t="s">
        <v>93</v>
      </c>
      <c r="E211" t="s">
        <v>58</v>
      </c>
      <c r="F211" t="str">
        <f t="shared" ref="F211:F221" si="0">IF(NOT(ISBLANK(D211)),D211,IF(NOT(ISBLANK(E211)),"     "&amp;E211,FALSE))</f>
        <v xml:space="preserve">     Afectación menor a 10 SMLMV .</v>
      </c>
    </row>
    <row r="212" spans="1:8" ht="21" x14ac:dyDescent="0.35">
      <c r="A212" s="69"/>
      <c r="B212" s="17" t="s">
        <v>90</v>
      </c>
      <c r="C212" s="17" t="s">
        <v>94</v>
      </c>
      <c r="E212" t="s">
        <v>93</v>
      </c>
      <c r="F212" t="str">
        <f t="shared" si="0"/>
        <v xml:space="preserve">     Entre 10 y 50 SMLMV </v>
      </c>
    </row>
    <row r="213" spans="1:8" ht="21" x14ac:dyDescent="0.35">
      <c r="A213" s="69"/>
      <c r="B213" s="17" t="s">
        <v>90</v>
      </c>
      <c r="C213" s="17" t="s">
        <v>95</v>
      </c>
      <c r="E213" t="s">
        <v>94</v>
      </c>
      <c r="F213" t="str">
        <f t="shared" si="0"/>
        <v xml:space="preserve">     Entre 50 y 100 SMLMV </v>
      </c>
    </row>
    <row r="214" spans="1:8" ht="21" x14ac:dyDescent="0.35">
      <c r="A214" s="69"/>
      <c r="B214" s="17" t="s">
        <v>90</v>
      </c>
      <c r="C214" s="17" t="s">
        <v>96</v>
      </c>
      <c r="E214" t="s">
        <v>95</v>
      </c>
      <c r="F214" t="str">
        <f t="shared" si="0"/>
        <v xml:space="preserve">     Entre 100 y 500 SMLMV </v>
      </c>
    </row>
    <row r="215" spans="1:8" ht="21" x14ac:dyDescent="0.35">
      <c r="A215" s="69"/>
      <c r="B215" s="17" t="s">
        <v>57</v>
      </c>
      <c r="C215" s="17" t="s">
        <v>97</v>
      </c>
      <c r="E215" t="s">
        <v>96</v>
      </c>
      <c r="F215" t="str">
        <f t="shared" si="0"/>
        <v xml:space="preserve">     Mayor a 500 SMLMV </v>
      </c>
    </row>
    <row r="216" spans="1:8" ht="21" x14ac:dyDescent="0.35">
      <c r="A216" s="69"/>
      <c r="B216" s="17" t="s">
        <v>57</v>
      </c>
      <c r="C216" s="17" t="s">
        <v>98</v>
      </c>
      <c r="D216" t="s">
        <v>57</v>
      </c>
      <c r="F216" t="str">
        <f t="shared" si="0"/>
        <v>Pérdida Reputacional</v>
      </c>
    </row>
    <row r="217" spans="1:8" ht="21" x14ac:dyDescent="0.35">
      <c r="A217" s="69"/>
      <c r="B217" s="17" t="s">
        <v>57</v>
      </c>
      <c r="C217" s="17" t="s">
        <v>100</v>
      </c>
      <c r="E217" t="s">
        <v>97</v>
      </c>
      <c r="F217" t="str">
        <f t="shared" si="0"/>
        <v xml:space="preserve">     El riesgo afecta la imagen de alguna área de la organización</v>
      </c>
    </row>
    <row r="218" spans="1:8" ht="21" x14ac:dyDescent="0.35">
      <c r="A218" s="69"/>
      <c r="B218" s="17" t="s">
        <v>57</v>
      </c>
      <c r="C218" s="17" t="s">
        <v>99</v>
      </c>
      <c r="E218" t="s">
        <v>98</v>
      </c>
      <c r="F218" t="str">
        <f t="shared" si="0"/>
        <v xml:space="preserve">     El riesgo afecta la imagen de la entidad internamente, de conocimiento general, nivel interno, de junta dircetiva y accionistas y/o de provedores</v>
      </c>
    </row>
    <row r="219" spans="1:8" ht="21" x14ac:dyDescent="0.35">
      <c r="A219" s="69"/>
      <c r="B219" s="17" t="s">
        <v>57</v>
      </c>
      <c r="C219" s="17" t="s">
        <v>118</v>
      </c>
      <c r="E219" t="s">
        <v>100</v>
      </c>
      <c r="F219" t="str">
        <f t="shared" si="0"/>
        <v xml:space="preserve">     El riesgo afecta la imagen de la entidad con algunos usuarios de relevancia frente al logro de los objetivos</v>
      </c>
    </row>
    <row r="220" spans="1:8" x14ac:dyDescent="0.25">
      <c r="A220" s="69"/>
      <c r="B220" s="18"/>
      <c r="C220" s="18"/>
      <c r="E220" t="s">
        <v>99</v>
      </c>
      <c r="F220" t="str">
        <f t="shared" si="0"/>
        <v xml:space="preserve">     El riesgo afecta la imagen de de la entidad con efecto publicitario sostenido a nivel de sector administrativo, nivel departamental o municipal</v>
      </c>
    </row>
    <row r="221" spans="1:8" x14ac:dyDescent="0.25">
      <c r="A221" s="69"/>
      <c r="B221" s="18" t="str" cm="1">
        <f t="array" ref="B221:B223">_xlfn.UNIQUE(Tabla1[[#All],[Criterios]])</f>
        <v>Criterios</v>
      </c>
      <c r="C221" s="18"/>
      <c r="E221" t="s">
        <v>118</v>
      </c>
      <c r="F221" t="str">
        <f t="shared" si="0"/>
        <v xml:space="preserve">     El riesgo afecta la imagen de la entidad a nivel nacional, con efecto publicitarios sostenible a nivel país</v>
      </c>
    </row>
    <row r="222" spans="1:8" x14ac:dyDescent="0.25">
      <c r="A222" s="69"/>
      <c r="B222" s="18" t="str">
        <v>Afectación Económica o presupuestal</v>
      </c>
      <c r="C222" s="18"/>
    </row>
    <row r="223" spans="1:8" x14ac:dyDescent="0.25">
      <c r="B223" s="18" t="str">
        <v>Pérdida Reputacional</v>
      </c>
      <c r="C223" s="18"/>
      <c r="F223" s="21" t="s">
        <v>145</v>
      </c>
    </row>
    <row r="224" spans="1:8" x14ac:dyDescent="0.25">
      <c r="B224" s="14"/>
      <c r="C224" s="14"/>
      <c r="F224" s="21" t="s">
        <v>146</v>
      </c>
    </row>
    <row r="225" spans="2:4" x14ac:dyDescent="0.25">
      <c r="B225" s="14"/>
      <c r="C225" s="14"/>
    </row>
    <row r="226" spans="2:4" x14ac:dyDescent="0.25">
      <c r="B226" s="14"/>
      <c r="C226" s="14"/>
    </row>
    <row r="227" spans="2:4" x14ac:dyDescent="0.25">
      <c r="B227" s="14"/>
      <c r="C227" s="14"/>
      <c r="D227" s="14"/>
    </row>
    <row r="228" spans="2:4" x14ac:dyDescent="0.25">
      <c r="B228" s="14"/>
      <c r="C228" s="14"/>
      <c r="D228" s="14"/>
    </row>
    <row r="229" spans="2:4" x14ac:dyDescent="0.25">
      <c r="B229" s="14"/>
      <c r="C229" s="14"/>
      <c r="D229" s="14"/>
    </row>
    <row r="230" spans="2:4" x14ac:dyDescent="0.25">
      <c r="B230" s="14"/>
      <c r="C230" s="14"/>
      <c r="D230" s="14"/>
    </row>
    <row r="231" spans="2:4" x14ac:dyDescent="0.25">
      <c r="B231" s="14"/>
      <c r="C231" s="14"/>
      <c r="D231" s="14"/>
    </row>
    <row r="232" spans="2:4" x14ac:dyDescent="0.25">
      <c r="B232" s="14"/>
      <c r="C232" s="14"/>
      <c r="D232" s="14"/>
    </row>
  </sheetData>
  <mergeCells count="1">
    <mergeCell ref="B1:D1"/>
  </mergeCells>
  <dataValidations disablePrompts="1" count="1">
    <dataValidation type="list" allowBlank="1" showInputMessage="1" showErrorMessage="1" sqref="G210" xr:uid="{00000000-0002-0000-0700-000000000000}">
      <formula1>$F$210:$F$221</formula1>
    </dataValidation>
  </dataValidations>
  <pageMargins left="0.7" right="0.7" top="0.75" bottom="0.75" header="0.3" footer="0.3"/>
  <pageSetup orientation="portrait"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7" tint="-0.249977111117893"/>
  </sheetPr>
  <dimension ref="B1:F16"/>
  <sheetViews>
    <sheetView topLeftCell="A43" workbookViewId="0">
      <selection activeCell="I14" sqref="I14"/>
    </sheetView>
  </sheetViews>
  <sheetFormatPr baseColWidth="10" defaultColWidth="14.28515625" defaultRowHeight="12.75" x14ac:dyDescent="0.2"/>
  <cols>
    <col min="1" max="2" width="14.28515625" style="74"/>
    <col min="3" max="3" width="17" style="74" customWidth="1"/>
    <col min="4" max="4" width="14.28515625" style="74"/>
    <col min="5" max="5" width="46" style="74" customWidth="1"/>
    <col min="6" max="16384" width="14.28515625" style="74"/>
  </cols>
  <sheetData>
    <row r="1" spans="2:6" ht="24" customHeight="1" thickBot="1" x14ac:dyDescent="0.25">
      <c r="B1" s="569" t="s">
        <v>78</v>
      </c>
      <c r="C1" s="570"/>
      <c r="D1" s="570"/>
      <c r="E1" s="570"/>
      <c r="F1" s="571"/>
    </row>
    <row r="2" spans="2:6" ht="16.5" thickBot="1" x14ac:dyDescent="0.3">
      <c r="B2" s="75"/>
      <c r="C2" s="75"/>
      <c r="D2" s="75"/>
      <c r="E2" s="75"/>
      <c r="F2" s="75"/>
    </row>
    <row r="3" spans="2:6" ht="16.5" thickBot="1" x14ac:dyDescent="0.25">
      <c r="B3" s="573" t="s">
        <v>64</v>
      </c>
      <c r="C3" s="574"/>
      <c r="D3" s="574"/>
      <c r="E3" s="87" t="s">
        <v>65</v>
      </c>
      <c r="F3" s="88" t="s">
        <v>66</v>
      </c>
    </row>
    <row r="4" spans="2:6" ht="31.5" x14ac:dyDescent="0.2">
      <c r="B4" s="575" t="s">
        <v>67</v>
      </c>
      <c r="C4" s="577" t="s">
        <v>13</v>
      </c>
      <c r="D4" s="76" t="s">
        <v>14</v>
      </c>
      <c r="E4" s="77" t="s">
        <v>68</v>
      </c>
      <c r="F4" s="78">
        <v>0.25</v>
      </c>
    </row>
    <row r="5" spans="2:6" ht="47.25" x14ac:dyDescent="0.2">
      <c r="B5" s="576"/>
      <c r="C5" s="578"/>
      <c r="D5" s="79" t="s">
        <v>15</v>
      </c>
      <c r="E5" s="80" t="s">
        <v>69</v>
      </c>
      <c r="F5" s="81">
        <v>0.15</v>
      </c>
    </row>
    <row r="6" spans="2:6" ht="47.25" x14ac:dyDescent="0.2">
      <c r="B6" s="576"/>
      <c r="C6" s="578"/>
      <c r="D6" s="79" t="s">
        <v>16</v>
      </c>
      <c r="E6" s="80" t="s">
        <v>70</v>
      </c>
      <c r="F6" s="81">
        <v>0.1</v>
      </c>
    </row>
    <row r="7" spans="2:6" ht="63" x14ac:dyDescent="0.2">
      <c r="B7" s="576"/>
      <c r="C7" s="578" t="s">
        <v>17</v>
      </c>
      <c r="D7" s="79" t="s">
        <v>10</v>
      </c>
      <c r="E7" s="80" t="s">
        <v>71</v>
      </c>
      <c r="F7" s="81">
        <v>0.25</v>
      </c>
    </row>
    <row r="8" spans="2:6" ht="31.5" x14ac:dyDescent="0.2">
      <c r="B8" s="576"/>
      <c r="C8" s="578"/>
      <c r="D8" s="79" t="s">
        <v>9</v>
      </c>
      <c r="E8" s="80" t="s">
        <v>72</v>
      </c>
      <c r="F8" s="81">
        <v>0.15</v>
      </c>
    </row>
    <row r="9" spans="2:6" ht="47.25" x14ac:dyDescent="0.2">
      <c r="B9" s="576" t="s">
        <v>160</v>
      </c>
      <c r="C9" s="578" t="s">
        <v>18</v>
      </c>
      <c r="D9" s="79" t="s">
        <v>19</v>
      </c>
      <c r="E9" s="80" t="s">
        <v>73</v>
      </c>
      <c r="F9" s="82" t="s">
        <v>74</v>
      </c>
    </row>
    <row r="10" spans="2:6" ht="63" x14ac:dyDescent="0.2">
      <c r="B10" s="576"/>
      <c r="C10" s="578"/>
      <c r="D10" s="79" t="s">
        <v>20</v>
      </c>
      <c r="E10" s="80" t="s">
        <v>75</v>
      </c>
      <c r="F10" s="82" t="s">
        <v>74</v>
      </c>
    </row>
    <row r="11" spans="2:6" ht="47.25" x14ac:dyDescent="0.2">
      <c r="B11" s="576"/>
      <c r="C11" s="578" t="s">
        <v>21</v>
      </c>
      <c r="D11" s="79" t="s">
        <v>22</v>
      </c>
      <c r="E11" s="80" t="s">
        <v>76</v>
      </c>
      <c r="F11" s="82" t="s">
        <v>74</v>
      </c>
    </row>
    <row r="12" spans="2:6" ht="47.25" x14ac:dyDescent="0.2">
      <c r="B12" s="576"/>
      <c r="C12" s="578"/>
      <c r="D12" s="79" t="s">
        <v>23</v>
      </c>
      <c r="E12" s="80" t="s">
        <v>77</v>
      </c>
      <c r="F12" s="82" t="s">
        <v>74</v>
      </c>
    </row>
    <row r="13" spans="2:6" ht="31.5" x14ac:dyDescent="0.2">
      <c r="B13" s="576"/>
      <c r="C13" s="578" t="s">
        <v>24</v>
      </c>
      <c r="D13" s="79" t="s">
        <v>119</v>
      </c>
      <c r="E13" s="80" t="s">
        <v>122</v>
      </c>
      <c r="F13" s="82" t="s">
        <v>74</v>
      </c>
    </row>
    <row r="14" spans="2:6" ht="32.25" thickBot="1" x14ac:dyDescent="0.25">
      <c r="B14" s="579"/>
      <c r="C14" s="580"/>
      <c r="D14" s="83" t="s">
        <v>120</v>
      </c>
      <c r="E14" s="84" t="s">
        <v>121</v>
      </c>
      <c r="F14" s="85" t="s">
        <v>74</v>
      </c>
    </row>
    <row r="15" spans="2:6" ht="49.5" customHeight="1" x14ac:dyDescent="0.2">
      <c r="B15" s="572" t="s">
        <v>157</v>
      </c>
      <c r="C15" s="572"/>
      <c r="D15" s="572"/>
      <c r="E15" s="572"/>
      <c r="F15" s="572"/>
    </row>
    <row r="16" spans="2:6" ht="27" customHeight="1" x14ac:dyDescent="0.25">
      <c r="B16" s="8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Pagina SIG</vt:lpstr>
      <vt:lpstr>Intructivo</vt:lpstr>
      <vt:lpstr>Intructivo.</vt:lpstr>
      <vt:lpstr>Mapa final</vt:lpstr>
      <vt:lpstr>Matriz Calor Inherente</vt:lpstr>
      <vt:lpstr>Matriz Calor Residual</vt:lpstr>
      <vt:lpstr>Tabla probabilidad</vt:lpstr>
      <vt:lpstr>Tabla Impacto</vt:lpstr>
      <vt:lpstr>Tabla Valoración controles</vt:lpstr>
      <vt:lpstr>Tabla Impacto Corrupción R1</vt:lpstr>
      <vt:lpstr>Parametros</vt:lpstr>
      <vt:lpstr>Opciones Tratamiento</vt:lpstr>
      <vt:lpstr>Hoja1</vt:lpstr>
      <vt:lpstr>'Mapa final'!Área_de_impresión</vt:lpstr>
      <vt:lpstr>'Mapa final'!Títulos_a_imprimir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TASD. Julia STella  Romero Sandoval</cp:lastModifiedBy>
  <cp:lastPrinted>2022-09-21T18:58:09Z</cp:lastPrinted>
  <dcterms:created xsi:type="dcterms:W3CDTF">2020-03-24T23:12:47Z</dcterms:created>
  <dcterms:modified xsi:type="dcterms:W3CDTF">2023-05-11T21:26:47Z</dcterms:modified>
</cp:coreProperties>
</file>