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hidePivotFieldList="1" defaultThemeVersion="124226"/>
  <mc:AlternateContent xmlns:mc="http://schemas.openxmlformats.org/markup-compatibility/2006">
    <mc:Choice Requires="x15">
      <x15ac:absPath xmlns:x15ac="http://schemas.microsoft.com/office/spreadsheetml/2010/11/ac" url="D:\Users\julirom\Desktop\MAPA DE RIESGOS 2023\"/>
    </mc:Choice>
  </mc:AlternateContent>
  <xr:revisionPtr revIDLastSave="0" documentId="8_{6BABC772-BFB9-47B3-8BB7-90A4117BB970}" xr6:coauthVersionLast="47" xr6:coauthVersionMax="47" xr10:uidLastSave="{00000000-0000-0000-0000-000000000000}"/>
  <bookViews>
    <workbookView xWindow="-120" yWindow="-120" windowWidth="24240" windowHeight="13140" tabRatio="882" activeTab="3" xr2:uid="{00000000-000D-0000-FFFF-FFFF00000000}"/>
  </bookViews>
  <sheets>
    <sheet name="Pagina SIG" sheetId="23" r:id="rId1"/>
    <sheet name="Intructivo" sheetId="24" r:id="rId2"/>
    <sheet name="Intructivo." sheetId="20" state="hidden" r:id="rId3"/>
    <sheet name="Mapa final" sheetId="1" r:id="rId4"/>
    <sheet name="Matriz Calor Inherente" sheetId="18" r:id="rId5"/>
    <sheet name="Matriz Calor Residual" sheetId="19" r:id="rId6"/>
    <sheet name="Tabla probabilidad" sheetId="12" r:id="rId7"/>
    <sheet name="Tabla Impacto" sheetId="13" r:id="rId8"/>
    <sheet name="Tabla Valoración controles" sheetId="15" r:id="rId9"/>
    <sheet name="Tabla Impacto Corrupción R1" sheetId="22" r:id="rId10"/>
    <sheet name="Parametros" sheetId="21" state="hidden" r:id="rId11"/>
    <sheet name="Opciones Tratamiento" sheetId="16" state="hidden" r:id="rId12"/>
    <sheet name="Hoja1" sheetId="11" state="hidden" r:id="rId13"/>
  </sheets>
  <definedNames>
    <definedName name="_xlnm.Print_Area" localSheetId="3">'Mapa final'!$A$1:$AO$75</definedName>
    <definedName name="_xlnm.Print_Titles" localSheetId="3">'Mapa final'!$10:$12</definedName>
  </definedNames>
  <calcPr calcId="191029"/>
  <pivotCaches>
    <pivotCache cacheId="1"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1" i="1" l="1"/>
  <c r="L13" i="1" l="1"/>
  <c r="Y14" i="1"/>
  <c r="M23" i="22"/>
  <c r="N23" i="22"/>
  <c r="O23" i="22"/>
  <c r="P23" i="22"/>
  <c r="Q23" i="22"/>
  <c r="R23" i="22"/>
  <c r="D23" i="22"/>
  <c r="E23" i="22"/>
  <c r="F23" i="22"/>
  <c r="G23" i="22"/>
  <c r="H23" i="22"/>
  <c r="I23" i="22"/>
  <c r="J23" i="22"/>
  <c r="K23" i="22"/>
  <c r="L23" i="22"/>
  <c r="C23" i="22"/>
  <c r="V13" i="1"/>
  <c r="V14" i="1"/>
  <c r="AG15" i="1" s="1"/>
  <c r="AF15" i="1" s="1"/>
  <c r="V15" i="1"/>
  <c r="V16" i="1"/>
  <c r="V17" i="1"/>
  <c r="V18" i="1"/>
  <c r="AG18" i="1" s="1"/>
  <c r="AF18" i="1" s="1"/>
  <c r="V19" i="1"/>
  <c r="V21" i="1"/>
  <c r="V22" i="1"/>
  <c r="AG22" i="1" s="1"/>
  <c r="AF22" i="1" s="1"/>
  <c r="V23" i="1"/>
  <c r="AC23" i="1" s="1"/>
  <c r="V24" i="1"/>
  <c r="V27" i="1"/>
  <c r="V28" i="1"/>
  <c r="AC28" i="1" s="1"/>
  <c r="V29" i="1"/>
  <c r="AG29" i="1" s="1"/>
  <c r="AF29" i="1" s="1"/>
  <c r="V30" i="1"/>
  <c r="V32" i="1"/>
  <c r="V33" i="1"/>
  <c r="AG33" i="1" s="1"/>
  <c r="AF33" i="1" s="1"/>
  <c r="M13" i="1"/>
  <c r="N13" i="1" s="1"/>
  <c r="AC13" i="1" s="1"/>
  <c r="Y13" i="1"/>
  <c r="R36" i="18"/>
  <c r="AJ28" i="18"/>
  <c r="F221" i="13"/>
  <c r="F211" i="13"/>
  <c r="F212" i="13"/>
  <c r="F213" i="13"/>
  <c r="F214" i="13"/>
  <c r="F215" i="13"/>
  <c r="F216" i="13"/>
  <c r="F217" i="13"/>
  <c r="F218" i="13"/>
  <c r="F219" i="13"/>
  <c r="F220" i="13"/>
  <c r="F210" i="13"/>
  <c r="V55" i="1"/>
  <c r="AG56" i="1" s="1"/>
  <c r="AF56" i="1" s="1"/>
  <c r="V50" i="1"/>
  <c r="V44"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72" i="1"/>
  <c r="V72" i="1"/>
  <c r="AC72" i="1" s="1"/>
  <c r="Y71" i="1"/>
  <c r="V71" i="1"/>
  <c r="Y70" i="1"/>
  <c r="V70" i="1"/>
  <c r="AC70" i="1" s="1"/>
  <c r="Y69" i="1"/>
  <c r="V69" i="1"/>
  <c r="Y68" i="1"/>
  <c r="V68" i="1"/>
  <c r="AC69" i="1" s="1"/>
  <c r="Y67" i="1"/>
  <c r="V67" i="1"/>
  <c r="M67" i="1"/>
  <c r="N67" i="1" s="1"/>
  <c r="Y66" i="1"/>
  <c r="V66" i="1"/>
  <c r="Y65" i="1"/>
  <c r="V65" i="1"/>
  <c r="AC66" i="1" s="1"/>
  <c r="AD66" i="1" s="1"/>
  <c r="Y64" i="1"/>
  <c r="V64" i="1"/>
  <c r="Y63" i="1"/>
  <c r="V63" i="1"/>
  <c r="AG64" i="1" s="1"/>
  <c r="AF64" i="1" s="1"/>
  <c r="Y62" i="1"/>
  <c r="V62" i="1"/>
  <c r="Y61" i="1"/>
  <c r="V61" i="1"/>
  <c r="AG61" i="1" s="1"/>
  <c r="AF61" i="1" s="1"/>
  <c r="M61" i="1"/>
  <c r="N61" i="1" s="1"/>
  <c r="Y60" i="1"/>
  <c r="V60" i="1"/>
  <c r="Y59" i="1"/>
  <c r="V59" i="1"/>
  <c r="AG60" i="1" s="1"/>
  <c r="AF60" i="1" s="1"/>
  <c r="Y58" i="1"/>
  <c r="V58" i="1"/>
  <c r="Y57" i="1"/>
  <c r="V57" i="1"/>
  <c r="AG57" i="1" s="1"/>
  <c r="AF57" i="1" s="1"/>
  <c r="Y56" i="1"/>
  <c r="V56" i="1"/>
  <c r="Y55" i="1"/>
  <c r="M55" i="1"/>
  <c r="N55" i="1" s="1"/>
  <c r="Y54" i="1"/>
  <c r="V54" i="1"/>
  <c r="AG54" i="1" s="1"/>
  <c r="AF54" i="1" s="1"/>
  <c r="Y53" i="1"/>
  <c r="V53" i="1"/>
  <c r="Y52" i="1"/>
  <c r="V52" i="1"/>
  <c r="AG53" i="1" s="1"/>
  <c r="AF53" i="1" s="1"/>
  <c r="Y51" i="1"/>
  <c r="V51" i="1"/>
  <c r="AG51" i="1" s="1"/>
  <c r="AF51" i="1" s="1"/>
  <c r="Y50" i="1"/>
  <c r="Y49" i="1"/>
  <c r="V49" i="1"/>
  <c r="AG50" i="1" s="1"/>
  <c r="AF50" i="1" s="1"/>
  <c r="M49" i="1"/>
  <c r="N49" i="1" s="1"/>
  <c r="Y48" i="1"/>
  <c r="V48" i="1"/>
  <c r="V47" i="1"/>
  <c r="AC48" i="1" s="1"/>
  <c r="Y47" i="1"/>
  <c r="Y46" i="1"/>
  <c r="V46" i="1"/>
  <c r="AG46" i="1" s="1"/>
  <c r="AF46" i="1" s="1"/>
  <c r="Y45" i="1"/>
  <c r="V45" i="1"/>
  <c r="Y44" i="1"/>
  <c r="Y43" i="1"/>
  <c r="V43" i="1"/>
  <c r="AC44" i="1" s="1"/>
  <c r="M43" i="1"/>
  <c r="N43" i="1" s="1"/>
  <c r="Y42" i="1"/>
  <c r="V42" i="1"/>
  <c r="Y41" i="1"/>
  <c r="V41" i="1"/>
  <c r="V40" i="1"/>
  <c r="Y40" i="1"/>
  <c r="Y39" i="1"/>
  <c r="V39" i="1"/>
  <c r="Y38" i="1"/>
  <c r="V38" i="1"/>
  <c r="Y37" i="1"/>
  <c r="V37" i="1"/>
  <c r="M37" i="1"/>
  <c r="N37" i="1" s="1"/>
  <c r="Y36" i="1"/>
  <c r="V36" i="1"/>
  <c r="Y35" i="1"/>
  <c r="V35" i="1"/>
  <c r="Y34" i="1"/>
  <c r="V34" i="1"/>
  <c r="AC34" i="1" s="1"/>
  <c r="AD34" i="1" s="1"/>
  <c r="Y33" i="1"/>
  <c r="Y32" i="1"/>
  <c r="Y31" i="1"/>
  <c r="M31" i="1"/>
  <c r="N31" i="1" s="1"/>
  <c r="AC31" i="1" s="1"/>
  <c r="Y30" i="1"/>
  <c r="Y29" i="1"/>
  <c r="Y28" i="1"/>
  <c r="Y27" i="1"/>
  <c r="Y26" i="1"/>
  <c r="Y25" i="1"/>
  <c r="M25" i="1"/>
  <c r="N25" i="1" s="1"/>
  <c r="M19" i="1"/>
  <c r="N19" i="1" s="1"/>
  <c r="AC19" i="1" s="1"/>
  <c r="Y24" i="1"/>
  <c r="Y23" i="1"/>
  <c r="Y22" i="1"/>
  <c r="Y21" i="1"/>
  <c r="Y20" i="1"/>
  <c r="Y19" i="1"/>
  <c r="AG62" i="1"/>
  <c r="AF62" i="1" s="1"/>
  <c r="AC53" i="1"/>
  <c r="AD53" i="1"/>
  <c r="AC63" i="1"/>
  <c r="AE63" i="1" s="1"/>
  <c r="AE53" i="1"/>
  <c r="AC45" i="1"/>
  <c r="AD45" i="1" s="1"/>
  <c r="AC27" i="1"/>
  <c r="AE27" i="1" s="1"/>
  <c r="AC64" i="1"/>
  <c r="AD64" i="1" s="1"/>
  <c r="AC50" i="1"/>
  <c r="AD50" i="1" s="1"/>
  <c r="K12" i="19" s="1"/>
  <c r="Y15" i="1"/>
  <c r="Y16" i="1"/>
  <c r="Y17" i="1"/>
  <c r="Y18" i="1"/>
  <c r="AC46" i="1"/>
  <c r="AE46" i="1" s="1"/>
  <c r="AC21" i="1"/>
  <c r="AD21" i="1" s="1"/>
  <c r="AC18" i="1"/>
  <c r="AE18" i="1" s="1"/>
  <c r="AG27" i="1"/>
  <c r="AF27" i="1" s="1"/>
  <c r="AG45" i="1"/>
  <c r="AF45" i="1" s="1"/>
  <c r="AG28" i="1"/>
  <c r="AF28" i="1" s="1"/>
  <c r="AG21" i="1"/>
  <c r="AF21" i="1" s="1"/>
  <c r="AC22" i="1"/>
  <c r="AD22" i="1" s="1"/>
  <c r="AC67" i="1"/>
  <c r="AD67" i="1" s="1"/>
  <c r="AC71" i="1"/>
  <c r="AE71" i="1" s="1"/>
  <c r="AG67" i="1"/>
  <c r="AF67" i="1" s="1"/>
  <c r="AE67" i="1"/>
  <c r="AC16" i="1"/>
  <c r="AE16" i="1" s="1"/>
  <c r="AC17" i="1"/>
  <c r="AE17" i="1" s="1"/>
  <c r="AG16" i="1"/>
  <c r="AF16" i="1" s="1"/>
  <c r="AG17" i="1"/>
  <c r="AF17" i="1"/>
  <c r="P15" i="1"/>
  <c r="P22" i="1"/>
  <c r="P41" i="1"/>
  <c r="P23" i="1"/>
  <c r="P32" i="1"/>
  <c r="P47" i="1"/>
  <c r="P53" i="1"/>
  <c r="P62" i="1"/>
  <c r="P44" i="1"/>
  <c r="P28" i="1"/>
  <c r="P48" i="1"/>
  <c r="P16" i="1"/>
  <c r="P39" i="1"/>
  <c r="P17" i="1"/>
  <c r="P52" i="1"/>
  <c r="P65" i="1"/>
  <c r="P46" i="1"/>
  <c r="P33" i="1"/>
  <c r="P56" i="1"/>
  <c r="P45" i="1"/>
  <c r="P68" i="1"/>
  <c r="P29" i="1"/>
  <c r="P42" i="1"/>
  <c r="P71" i="1"/>
  <c r="P35" i="1"/>
  <c r="P38" i="1"/>
  <c r="P24" i="1"/>
  <c r="P69" i="1"/>
  <c r="P27" i="1"/>
  <c r="P36" i="1"/>
  <c r="P51" i="1"/>
  <c r="P58" i="1"/>
  <c r="P66" i="1"/>
  <c r="P40" i="1"/>
  <c r="P21" i="1"/>
  <c r="P14" i="1"/>
  <c r="P34" i="1"/>
  <c r="P60" i="1"/>
  <c r="P54" i="1"/>
  <c r="P63" i="1"/>
  <c r="P20" i="1"/>
  <c r="P50" i="1"/>
  <c r="P72" i="1"/>
  <c r="P59" i="1"/>
  <c r="P70" i="1"/>
  <c r="P18" i="1"/>
  <c r="P57" i="1"/>
  <c r="P26" i="1"/>
  <c r="P30" i="1"/>
  <c r="P64" i="1"/>
  <c r="B221" i="13" a="1"/>
  <c r="AD28" i="1" l="1"/>
  <c r="AE28" i="1"/>
  <c r="AD70" i="1"/>
  <c r="AH70" i="1" s="1"/>
  <c r="AE70" i="1"/>
  <c r="AE23" i="1"/>
  <c r="AD23" i="1"/>
  <c r="AD71" i="1"/>
  <c r="AC24" i="1"/>
  <c r="AE24" i="1" s="1"/>
  <c r="AC33" i="1"/>
  <c r="AD33" i="1" s="1"/>
  <c r="AG63" i="1"/>
  <c r="AF63" i="1" s="1"/>
  <c r="AC60" i="1"/>
  <c r="AE60" i="1" s="1"/>
  <c r="AC56" i="1"/>
  <c r="AE56" i="1" s="1"/>
  <c r="AC35" i="1"/>
  <c r="AC59" i="1"/>
  <c r="AD59" i="1" s="1"/>
  <c r="AG24" i="1"/>
  <c r="AF24" i="1" s="1"/>
  <c r="AG34" i="1"/>
  <c r="AF34" i="1" s="1"/>
  <c r="AE39" i="19" s="1"/>
  <c r="AC15" i="1"/>
  <c r="AG71" i="1"/>
  <c r="AF71" i="1" s="1"/>
  <c r="AD63" i="1"/>
  <c r="X54" i="19" s="1"/>
  <c r="AG49" i="1"/>
  <c r="AF49" i="1" s="1"/>
  <c r="AB52" i="19" s="1"/>
  <c r="AC43" i="1"/>
  <c r="AD43" i="1" s="1"/>
  <c r="AG23" i="1"/>
  <c r="AF23" i="1" s="1"/>
  <c r="AG48" i="1"/>
  <c r="AF48" i="1" s="1"/>
  <c r="AC49" i="1"/>
  <c r="AD49" i="1" s="1"/>
  <c r="P52" i="19" s="1"/>
  <c r="AC25" i="1"/>
  <c r="AD25" i="1" s="1"/>
  <c r="AC41" i="1"/>
  <c r="AE41" i="1" s="1"/>
  <c r="AG70" i="1"/>
  <c r="AF70" i="1" s="1"/>
  <c r="AG44" i="1"/>
  <c r="AF44" i="1" s="1"/>
  <c r="AI21" i="19" s="1"/>
  <c r="AG55" i="1"/>
  <c r="AF55" i="1" s="1"/>
  <c r="AE64" i="1"/>
  <c r="AC55" i="1"/>
  <c r="AE55" i="1" s="1"/>
  <c r="AC39" i="1"/>
  <c r="AD39" i="1" s="1"/>
  <c r="M54" i="19"/>
  <c r="S24" i="19"/>
  <c r="AE54" i="19"/>
  <c r="AD19" i="1"/>
  <c r="AE19" i="1"/>
  <c r="AE50" i="1"/>
  <c r="AC54" i="1"/>
  <c r="Z25" i="19"/>
  <c r="AC30" i="1"/>
  <c r="AG39" i="1"/>
  <c r="AF39" i="1" s="1"/>
  <c r="AD46" i="1"/>
  <c r="M41" i="19" s="1"/>
  <c r="AG30" i="1"/>
  <c r="AF30" i="1" s="1"/>
  <c r="AC29" i="1"/>
  <c r="AD29" i="1" s="1"/>
  <c r="AD17" i="1"/>
  <c r="AL26" i="19" s="1"/>
  <c r="AJ14" i="19"/>
  <c r="AC20" i="1"/>
  <c r="AD20" i="1" s="1"/>
  <c r="Y44" i="19"/>
  <c r="AC57" i="1"/>
  <c r="Z45" i="19"/>
  <c r="AE33" i="1"/>
  <c r="AD16" i="1"/>
  <c r="AK26" i="19" s="1"/>
  <c r="AC40" i="1"/>
  <c r="AD40" i="1" s="1"/>
  <c r="AK10" i="19" s="1"/>
  <c r="AG41" i="1"/>
  <c r="AF41" i="1" s="1"/>
  <c r="T40" i="19" s="1"/>
  <c r="AG68" i="1"/>
  <c r="AF68" i="1" s="1"/>
  <c r="AD18" i="1"/>
  <c r="AG40" i="1"/>
  <c r="AF40" i="1" s="1"/>
  <c r="L31" i="19"/>
  <c r="Z42" i="19"/>
  <c r="AF22" i="19"/>
  <c r="Z52" i="19"/>
  <c r="T52" i="19"/>
  <c r="AF52" i="19"/>
  <c r="Z32" i="19"/>
  <c r="AF42" i="19"/>
  <c r="AF32" i="19"/>
  <c r="T32" i="19"/>
  <c r="T12" i="19"/>
  <c r="AL42" i="19"/>
  <c r="AF12" i="19"/>
  <c r="T42" i="19"/>
  <c r="AH53" i="1"/>
  <c r="AL22" i="19"/>
  <c r="T22" i="19"/>
  <c r="N12" i="19"/>
  <c r="N22" i="19"/>
  <c r="AL12" i="19"/>
  <c r="Z12" i="19"/>
  <c r="AL32" i="19"/>
  <c r="N32" i="19"/>
  <c r="Z22" i="19"/>
  <c r="AL52" i="19"/>
  <c r="AE72" i="1"/>
  <c r="AD72" i="1"/>
  <c r="AB35" i="19"/>
  <c r="AH67" i="1"/>
  <c r="AE69" i="1"/>
  <c r="AD69" i="1"/>
  <c r="R54" i="19"/>
  <c r="AD54" i="19"/>
  <c r="Y35" i="19"/>
  <c r="S25" i="19"/>
  <c r="M55" i="19"/>
  <c r="S15" i="19"/>
  <c r="AE44" i="1"/>
  <c r="AD44" i="1"/>
  <c r="AB45" i="19"/>
  <c r="J31" i="19"/>
  <c r="L51" i="19"/>
  <c r="M21" i="19"/>
  <c r="AG72" i="1"/>
  <c r="AF72" i="1" s="1"/>
  <c r="AH72" i="1" s="1"/>
  <c r="S16" i="19"/>
  <c r="AF55" i="19"/>
  <c r="V45" i="19"/>
  <c r="L41" i="19"/>
  <c r="Y54" i="19"/>
  <c r="S31" i="19"/>
  <c r="AK31" i="19"/>
  <c r="AK44" i="19"/>
  <c r="AJ44" i="19"/>
  <c r="AG59" i="1"/>
  <c r="AF59" i="1" s="1"/>
  <c r="N33" i="19" s="1"/>
  <c r="AC52" i="1"/>
  <c r="AC51" i="1"/>
  <c r="R41" i="19"/>
  <c r="X24" i="19"/>
  <c r="AD41" i="19"/>
  <c r="R31" i="19"/>
  <c r="S41" i="19"/>
  <c r="AH63" i="1"/>
  <c r="AE66" i="1"/>
  <c r="AG52" i="1"/>
  <c r="AF52" i="1" s="1"/>
  <c r="N52" i="19"/>
  <c r="L21" i="19"/>
  <c r="Z35" i="19"/>
  <c r="T35" i="19"/>
  <c r="J25" i="19"/>
  <c r="X11" i="19"/>
  <c r="X51" i="19"/>
  <c r="S21" i="19"/>
  <c r="AE41" i="19"/>
  <c r="AE44" i="19"/>
  <c r="AJ31" i="19"/>
  <c r="AG58" i="1"/>
  <c r="AF58" i="1" s="1"/>
  <c r="AD27" i="19"/>
  <c r="AE43" i="1"/>
  <c r="T55" i="19"/>
  <c r="AC58" i="1"/>
  <c r="L34" i="19"/>
  <c r="Y46" i="19"/>
  <c r="AL35" i="19"/>
  <c r="P25" i="19"/>
  <c r="AC61" i="1"/>
  <c r="AG43" i="1"/>
  <c r="AF43" i="1" s="1"/>
  <c r="J11" i="19" s="1"/>
  <c r="AK51" i="19"/>
  <c r="Y34" i="19"/>
  <c r="X41" i="19"/>
  <c r="AC68" i="1"/>
  <c r="AD24" i="19"/>
  <c r="X34" i="19"/>
  <c r="AD60" i="1"/>
  <c r="AG33" i="19" s="1"/>
  <c r="AG69" i="1"/>
  <c r="AF69" i="1" s="1"/>
  <c r="R24" i="19"/>
  <c r="AE59" i="1"/>
  <c r="X44" i="19"/>
  <c r="S11" i="19"/>
  <c r="Y26" i="19"/>
  <c r="AL55" i="19"/>
  <c r="AL25" i="19"/>
  <c r="AC62" i="1"/>
  <c r="L11" i="19"/>
  <c r="AE34" i="19"/>
  <c r="Y51" i="19"/>
  <c r="AJ24" i="19"/>
  <c r="M11" i="19"/>
  <c r="AC37" i="1"/>
  <c r="AD37" i="1" s="1"/>
  <c r="AD41" i="1"/>
  <c r="AE34" i="1"/>
  <c r="Y19" i="19"/>
  <c r="AD19" i="19"/>
  <c r="R39" i="19"/>
  <c r="AD39" i="19"/>
  <c r="X19" i="19"/>
  <c r="AJ29" i="19"/>
  <c r="R19" i="19"/>
  <c r="AD49" i="19"/>
  <c r="X49" i="19"/>
  <c r="AJ9" i="19"/>
  <c r="L39" i="19"/>
  <c r="R29" i="19"/>
  <c r="L9" i="19"/>
  <c r="R9" i="19"/>
  <c r="AJ49" i="19"/>
  <c r="AJ19" i="19"/>
  <c r="L19" i="19"/>
  <c r="R49" i="19"/>
  <c r="AD29" i="19"/>
  <c r="AH33" i="1"/>
  <c r="L49" i="19"/>
  <c r="AE29" i="1"/>
  <c r="T28" i="19"/>
  <c r="AF38" i="19"/>
  <c r="AF28" i="19"/>
  <c r="AD27" i="1"/>
  <c r="L38" i="19" s="1"/>
  <c r="AE25" i="1"/>
  <c r="AC26" i="1" s="1"/>
  <c r="AE26" i="1" s="1"/>
  <c r="N27" i="19"/>
  <c r="AL17" i="19"/>
  <c r="Z7" i="19"/>
  <c r="R17" i="19"/>
  <c r="L47" i="19"/>
  <c r="M17" i="19"/>
  <c r="AE27" i="19"/>
  <c r="M27" i="19"/>
  <c r="S7" i="19"/>
  <c r="AE37" i="19"/>
  <c r="AE7" i="19"/>
  <c r="M47" i="19"/>
  <c r="AK27" i="19"/>
  <c r="M7" i="19"/>
  <c r="M37" i="19"/>
  <c r="Y7" i="19"/>
  <c r="S27" i="19"/>
  <c r="AK7" i="19"/>
  <c r="AH22" i="1"/>
  <c r="AK37" i="19"/>
  <c r="Y47" i="19"/>
  <c r="Y17" i="19"/>
  <c r="AE17" i="19"/>
  <c r="Y27" i="19"/>
  <c r="AE47" i="19"/>
  <c r="AK17" i="19"/>
  <c r="AF47" i="19"/>
  <c r="N47" i="19"/>
  <c r="X17" i="19"/>
  <c r="L27" i="19"/>
  <c r="AL37" i="19"/>
  <c r="Z47" i="19"/>
  <c r="X37" i="19"/>
  <c r="T27" i="19"/>
  <c r="T37" i="19"/>
  <c r="L17" i="19"/>
  <c r="Z17" i="19"/>
  <c r="N17" i="19"/>
  <c r="AF37" i="19"/>
  <c r="AD17" i="19"/>
  <c r="AJ47" i="19"/>
  <c r="N37" i="19"/>
  <c r="Z27" i="19"/>
  <c r="AL27" i="19"/>
  <c r="AE22" i="1"/>
  <c r="L7" i="19"/>
  <c r="X47" i="19"/>
  <c r="AL7" i="19"/>
  <c r="AH23" i="1"/>
  <c r="Z37" i="19"/>
  <c r="AF17" i="19"/>
  <c r="T7" i="19"/>
  <c r="AF7" i="19"/>
  <c r="AE21" i="1"/>
  <c r="AE13" i="1"/>
  <c r="AC14" i="1" s="1"/>
  <c r="AD13" i="1"/>
  <c r="T46" i="19"/>
  <c r="T16" i="19"/>
  <c r="M48" i="19"/>
  <c r="AK28" i="19"/>
  <c r="Y28" i="19"/>
  <c r="AH28" i="1"/>
  <c r="T6" i="19"/>
  <c r="AI42" i="19"/>
  <c r="AI22" i="19"/>
  <c r="AC12" i="19"/>
  <c r="AH50" i="1"/>
  <c r="K32" i="19"/>
  <c r="K42" i="19"/>
  <c r="Q22" i="19"/>
  <c r="AC22" i="19"/>
  <c r="Q32" i="19"/>
  <c r="W12" i="19"/>
  <c r="AI12" i="19"/>
  <c r="AC42" i="19"/>
  <c r="W42" i="19"/>
  <c r="Q12" i="19"/>
  <c r="AI32" i="19"/>
  <c r="AC52" i="19"/>
  <c r="AC32" i="19"/>
  <c r="W32" i="19"/>
  <c r="W22" i="19"/>
  <c r="Q52" i="19"/>
  <c r="Q42" i="19"/>
  <c r="K22" i="19"/>
  <c r="W52" i="19"/>
  <c r="K52" i="19"/>
  <c r="AI52" i="19"/>
  <c r="AC41" i="19"/>
  <c r="W31" i="19"/>
  <c r="AI11" i="19"/>
  <c r="AE36" i="19"/>
  <c r="AK46" i="19"/>
  <c r="AK6" i="19"/>
  <c r="M36" i="19"/>
  <c r="M16" i="19"/>
  <c r="M6" i="19"/>
  <c r="S26" i="19"/>
  <c r="S36" i="19"/>
  <c r="Y36" i="19"/>
  <c r="M26" i="19"/>
  <c r="AE26" i="19"/>
  <c r="AE16" i="19"/>
  <c r="S6" i="19"/>
  <c r="Z6" i="19"/>
  <c r="AF26" i="19"/>
  <c r="Y6" i="19"/>
  <c r="N16" i="19"/>
  <c r="N36" i="19"/>
  <c r="M46" i="19"/>
  <c r="N46" i="19"/>
  <c r="AE6" i="19"/>
  <c r="Z46" i="19"/>
  <c r="Z36" i="19"/>
  <c r="Y16" i="19"/>
  <c r="AF36" i="19"/>
  <c r="AH17" i="1"/>
  <c r="AK16" i="19"/>
  <c r="AH16" i="1"/>
  <c r="AL36" i="19"/>
  <c r="AF16" i="19"/>
  <c r="Z26" i="19"/>
  <c r="AF6" i="19"/>
  <c r="AB31" i="19"/>
  <c r="AB41" i="19"/>
  <c r="P51" i="19"/>
  <c r="P11" i="19"/>
  <c r="AH29" i="1"/>
  <c r="N8" i="19"/>
  <c r="N38" i="19"/>
  <c r="AL48" i="19"/>
  <c r="N18" i="19"/>
  <c r="Z38" i="19"/>
  <c r="T38" i="19"/>
  <c r="Z18" i="19"/>
  <c r="AL8" i="19"/>
  <c r="Z28" i="19"/>
  <c r="T48" i="19"/>
  <c r="N48" i="19"/>
  <c r="AF18" i="19"/>
  <c r="AL28" i="19"/>
  <c r="Z8" i="19"/>
  <c r="AF8" i="19"/>
  <c r="AF48" i="19"/>
  <c r="N28" i="19"/>
  <c r="AL18" i="19"/>
  <c r="Z48" i="19"/>
  <c r="T18" i="19"/>
  <c r="T8" i="19"/>
  <c r="Z16" i="19"/>
  <c r="T36" i="19"/>
  <c r="AF46" i="19"/>
  <c r="T26" i="19"/>
  <c r="S49" i="19"/>
  <c r="M49" i="19"/>
  <c r="AE9" i="19"/>
  <c r="M29" i="19"/>
  <c r="Y9" i="19"/>
  <c r="M9" i="19"/>
  <c r="AE19" i="19"/>
  <c r="Y49" i="19"/>
  <c r="AF25" i="19"/>
  <c r="N6" i="19"/>
  <c r="AL6" i="19"/>
  <c r="AL16" i="19"/>
  <c r="AH45" i="19"/>
  <c r="P35" i="19"/>
  <c r="AH35" i="19"/>
  <c r="AB25" i="19"/>
  <c r="V55" i="19"/>
  <c r="AH25" i="19"/>
  <c r="AB15" i="19"/>
  <c r="V35" i="19"/>
  <c r="J55" i="19"/>
  <c r="AH15" i="19"/>
  <c r="AB55" i="19"/>
  <c r="AH55" i="19"/>
  <c r="J15" i="19"/>
  <c r="J45" i="19"/>
  <c r="P15" i="19"/>
  <c r="P55" i="19"/>
  <c r="J35" i="19"/>
  <c r="V15" i="19"/>
  <c r="V25" i="19"/>
  <c r="P45" i="19"/>
  <c r="AD31" i="1"/>
  <c r="AE31" i="1"/>
  <c r="AC32" i="1" s="1"/>
  <c r="AD62" i="1"/>
  <c r="AE62" i="1"/>
  <c r="AL38" i="19"/>
  <c r="N26" i="19"/>
  <c r="AL46" i="19"/>
  <c r="AE32" i="1"/>
  <c r="AD32" i="1"/>
  <c r="AE14" i="19"/>
  <c r="AD35" i="1"/>
  <c r="AE35" i="1"/>
  <c r="T17" i="19"/>
  <c r="N7" i="19"/>
  <c r="AF27" i="19"/>
  <c r="X39" i="19"/>
  <c r="X29" i="19"/>
  <c r="L29" i="19"/>
  <c r="AD9" i="19"/>
  <c r="Y37" i="19"/>
  <c r="AK47" i="19"/>
  <c r="S17" i="19"/>
  <c r="AH52" i="19"/>
  <c r="V32" i="19"/>
  <c r="J42" i="19"/>
  <c r="Y10" i="19"/>
  <c r="AE40" i="19"/>
  <c r="AH40" i="1"/>
  <c r="S10" i="19"/>
  <c r="Y50" i="19"/>
  <c r="M40" i="19"/>
  <c r="S30" i="19"/>
  <c r="Y40" i="19"/>
  <c r="AE50" i="19"/>
  <c r="S50" i="19"/>
  <c r="AE48" i="1"/>
  <c r="AD48" i="1"/>
  <c r="N43" i="19"/>
  <c r="AL23" i="19"/>
  <c r="T53" i="19"/>
  <c r="AL33" i="19"/>
  <c r="Z13" i="19"/>
  <c r="N23" i="19"/>
  <c r="N53" i="19"/>
  <c r="Z43" i="19"/>
  <c r="AF23" i="19"/>
  <c r="AL47" i="19"/>
  <c r="T47" i="19"/>
  <c r="AJ39" i="19"/>
  <c r="X9" i="19"/>
  <c r="S37" i="19"/>
  <c r="S47" i="19"/>
  <c r="AD11" i="19"/>
  <c r="AD21" i="19"/>
  <c r="AJ21" i="19"/>
  <c r="R11" i="19"/>
  <c r="AD51" i="19"/>
  <c r="R21" i="19"/>
  <c r="AJ11" i="19"/>
  <c r="AJ41" i="19"/>
  <c r="X31" i="19"/>
  <c r="AJ51" i="19"/>
  <c r="AD31" i="19"/>
  <c r="X21" i="19"/>
  <c r="AH45" i="1"/>
  <c r="R51" i="19"/>
  <c r="AK54" i="19"/>
  <c r="AK34" i="19"/>
  <c r="AK14" i="19"/>
  <c r="AH64" i="1"/>
  <c r="S14" i="19"/>
  <c r="AK24" i="19"/>
  <c r="M34" i="19"/>
  <c r="M24" i="19"/>
  <c r="S44" i="19"/>
  <c r="S34" i="19"/>
  <c r="AE24" i="19"/>
  <c r="S54" i="19"/>
  <c r="AD7" i="19"/>
  <c r="X7" i="19"/>
  <c r="AD37" i="19"/>
  <c r="R37" i="19"/>
  <c r="R27" i="19"/>
  <c r="X27" i="19"/>
  <c r="R47" i="19"/>
  <c r="AJ17" i="19"/>
  <c r="AJ27" i="19"/>
  <c r="R7" i="19"/>
  <c r="AH21" i="1"/>
  <c r="AD47" i="19"/>
  <c r="AJ7" i="19"/>
  <c r="L37" i="19"/>
  <c r="AJ37" i="19"/>
  <c r="S48" i="19"/>
  <c r="S28" i="19"/>
  <c r="S38" i="19"/>
  <c r="AE28" i="19"/>
  <c r="AE8" i="19"/>
  <c r="Y48" i="19"/>
  <c r="AE48" i="19"/>
  <c r="AE38" i="19"/>
  <c r="M8" i="19"/>
  <c r="Y18" i="19"/>
  <c r="M38" i="19"/>
  <c r="Y8" i="19"/>
  <c r="AK8" i="19"/>
  <c r="AE18" i="19"/>
  <c r="M28" i="19"/>
  <c r="Y38" i="19"/>
  <c r="AK48" i="19"/>
  <c r="AK38" i="19"/>
  <c r="S8" i="19"/>
  <c r="AK18" i="19"/>
  <c r="M18" i="19"/>
  <c r="S18" i="19"/>
  <c r="AE51" i="1"/>
  <c r="AD51" i="1"/>
  <c r="B221" i="13"/>
  <c r="H210" i="13" s="1"/>
  <c r="AG42" i="1"/>
  <c r="AF42" i="1" s="1"/>
  <c r="AG36" i="1"/>
  <c r="AF36" i="1" s="1"/>
  <c r="AE25" i="19"/>
  <c r="AC36" i="1"/>
  <c r="AC47" i="1"/>
  <c r="M14" i="19"/>
  <c r="R34" i="19"/>
  <c r="AK35" i="19"/>
  <c r="M15" i="19"/>
  <c r="AK15" i="19"/>
  <c r="AG35" i="1"/>
  <c r="AF35" i="1" s="1"/>
  <c r="AG66" i="1"/>
  <c r="AF66" i="1" s="1"/>
  <c r="Y24" i="19"/>
  <c r="Y55" i="19"/>
  <c r="M45" i="19"/>
  <c r="S45" i="19"/>
  <c r="N42" i="19"/>
  <c r="AM23" i="19"/>
  <c r="AG65" i="1"/>
  <c r="AF65" i="1" s="1"/>
  <c r="AC42" i="1"/>
  <c r="AC65" i="1"/>
  <c r="M44" i="19"/>
  <c r="Y14" i="19"/>
  <c r="AE35" i="19"/>
  <c r="AG47" i="1"/>
  <c r="AF47" i="1" s="1"/>
  <c r="AE45" i="1"/>
  <c r="AK45" i="19"/>
  <c r="AC21" i="19" l="1"/>
  <c r="K31" i="19"/>
  <c r="AG43" i="19"/>
  <c r="AL13" i="19"/>
  <c r="N13" i="19"/>
  <c r="M19" i="19"/>
  <c r="Y29" i="19"/>
  <c r="AI41" i="19"/>
  <c r="AH22" i="19"/>
  <c r="AH71" i="1"/>
  <c r="AF15" i="19"/>
  <c r="N25" i="19"/>
  <c r="M25" i="19"/>
  <c r="M35" i="19"/>
  <c r="Y41" i="19"/>
  <c r="AK55" i="19"/>
  <c r="AE45" i="19"/>
  <c r="AL43" i="19"/>
  <c r="T13" i="19"/>
  <c r="T23" i="19"/>
  <c r="S40" i="19"/>
  <c r="Y20" i="19"/>
  <c r="V22" i="19"/>
  <c r="AH12" i="19"/>
  <c r="N35" i="19"/>
  <c r="AK39" i="19"/>
  <c r="S39" i="19"/>
  <c r="Q11" i="19"/>
  <c r="Q41" i="19"/>
  <c r="AC51" i="19"/>
  <c r="S29" i="19"/>
  <c r="AJ34" i="19"/>
  <c r="AE51" i="19"/>
  <c r="AF35" i="19"/>
  <c r="L54" i="19"/>
  <c r="M31" i="19"/>
  <c r="Y15" i="19"/>
  <c r="P42" i="19"/>
  <c r="AF33" i="19"/>
  <c r="V52" i="19"/>
  <c r="AC31" i="19"/>
  <c r="K21" i="19"/>
  <c r="AF40" i="19"/>
  <c r="Z53" i="19"/>
  <c r="AE55" i="19"/>
  <c r="AK25" i="19"/>
  <c r="M51" i="19"/>
  <c r="Y25" i="19"/>
  <c r="T43" i="19"/>
  <c r="AL53" i="19"/>
  <c r="AH59" i="1"/>
  <c r="AE10" i="19"/>
  <c r="AE20" i="19"/>
  <c r="AH49" i="1"/>
  <c r="AB32" i="19"/>
  <c r="T45" i="19"/>
  <c r="M39" i="19"/>
  <c r="S19" i="19"/>
  <c r="W41" i="19"/>
  <c r="Q51" i="19"/>
  <c r="AC11" i="19"/>
  <c r="AK49" i="19"/>
  <c r="AD55" i="1"/>
  <c r="AH33" i="19" s="1"/>
  <c r="L44" i="19"/>
  <c r="R44" i="19"/>
  <c r="S55" i="19"/>
  <c r="AL45" i="19"/>
  <c r="L24" i="19"/>
  <c r="N45" i="19"/>
  <c r="AD44" i="19"/>
  <c r="V12" i="19"/>
  <c r="S35" i="19"/>
  <c r="J22" i="19"/>
  <c r="J32" i="19"/>
  <c r="K11" i="19"/>
  <c r="W51" i="19"/>
  <c r="K41" i="19"/>
  <c r="AK29" i="19"/>
  <c r="AH42" i="19"/>
  <c r="AB12" i="19"/>
  <c r="AE49" i="1"/>
  <c r="J52" i="19"/>
  <c r="V42" i="19"/>
  <c r="J12" i="19"/>
  <c r="AB22" i="19"/>
  <c r="Y45" i="19"/>
  <c r="Y31" i="19"/>
  <c r="AD56" i="1"/>
  <c r="W23" i="19" s="1"/>
  <c r="U43" i="19"/>
  <c r="AM53" i="19"/>
  <c r="Z23" i="19"/>
  <c r="T33" i="19"/>
  <c r="Y30" i="19"/>
  <c r="M30" i="19"/>
  <c r="P32" i="19"/>
  <c r="AB42" i="19"/>
  <c r="AE29" i="19"/>
  <c r="Y39" i="19"/>
  <c r="AH34" i="1"/>
  <c r="AI31" i="19"/>
  <c r="AH44" i="1"/>
  <c r="AE49" i="19"/>
  <c r="X14" i="19"/>
  <c r="AH32" i="19"/>
  <c r="R14" i="19"/>
  <c r="AD14" i="19"/>
  <c r="Z15" i="19"/>
  <c r="P22" i="19"/>
  <c r="P12" i="19"/>
  <c r="AF45" i="19"/>
  <c r="Z55" i="19"/>
  <c r="AE15" i="19"/>
  <c r="AJ54" i="19"/>
  <c r="AA45" i="19"/>
  <c r="N55" i="19"/>
  <c r="AL15" i="19"/>
  <c r="Z33" i="19"/>
  <c r="AF43" i="19"/>
  <c r="AK50" i="19"/>
  <c r="M20" i="19"/>
  <c r="AK9" i="19"/>
  <c r="S9" i="19"/>
  <c r="AK19" i="19"/>
  <c r="Q21" i="19"/>
  <c r="AD24" i="1"/>
  <c r="AH46" i="1"/>
  <c r="T15" i="19"/>
  <c r="T25" i="19"/>
  <c r="AE21" i="19"/>
  <c r="AD34" i="19"/>
  <c r="N15" i="19"/>
  <c r="L14" i="19"/>
  <c r="AE15" i="1"/>
  <c r="AD15" i="1"/>
  <c r="AE39" i="1"/>
  <c r="AE40" i="1"/>
  <c r="M10" i="19"/>
  <c r="R50" i="19"/>
  <c r="AJ50" i="19"/>
  <c r="AD50" i="19"/>
  <c r="L50" i="19"/>
  <c r="L10" i="19"/>
  <c r="X50" i="19"/>
  <c r="L30" i="19"/>
  <c r="AD10" i="19"/>
  <c r="X20" i="19"/>
  <c r="L40" i="19"/>
  <c r="R40" i="19"/>
  <c r="X30" i="19"/>
  <c r="AD20" i="19"/>
  <c r="AJ30" i="19"/>
  <c r="AJ20" i="19"/>
  <c r="X40" i="19"/>
  <c r="AD30" i="19"/>
  <c r="R30" i="19"/>
  <c r="L20" i="19"/>
  <c r="AJ10" i="19"/>
  <c r="R20" i="19"/>
  <c r="AD40" i="19"/>
  <c r="X10" i="19"/>
  <c r="AJ40" i="19"/>
  <c r="M50" i="19"/>
  <c r="AK20" i="19"/>
  <c r="AE30" i="19"/>
  <c r="R10" i="19"/>
  <c r="U55" i="19"/>
  <c r="N30" i="19"/>
  <c r="T20" i="19"/>
  <c r="AE20" i="1"/>
  <c r="AH31" i="19"/>
  <c r="AK40" i="19"/>
  <c r="S20" i="19"/>
  <c r="AK30" i="19"/>
  <c r="AM25" i="19"/>
  <c r="AH41" i="1"/>
  <c r="N20" i="19"/>
  <c r="AF10" i="19"/>
  <c r="AF53" i="19"/>
  <c r="AH11" i="19"/>
  <c r="AG45" i="19"/>
  <c r="AL10" i="19"/>
  <c r="T30" i="19"/>
  <c r="AF20" i="19"/>
  <c r="V51" i="19"/>
  <c r="S46" i="19"/>
  <c r="AE46" i="19"/>
  <c r="AK36" i="19"/>
  <c r="AD54" i="1"/>
  <c r="AE54" i="1"/>
  <c r="O35" i="19"/>
  <c r="AL30" i="19"/>
  <c r="AL40" i="19"/>
  <c r="AM45" i="19"/>
  <c r="Z10" i="19"/>
  <c r="AL20" i="19"/>
  <c r="AH18" i="1"/>
  <c r="AA36" i="19"/>
  <c r="AG36" i="19"/>
  <c r="AG6" i="19"/>
  <c r="AA16" i="19"/>
  <c r="AM6" i="19"/>
  <c r="AM36" i="19"/>
  <c r="O26" i="19"/>
  <c r="AG26" i="19"/>
  <c r="O6" i="19"/>
  <c r="U46" i="19"/>
  <c r="AG46" i="19"/>
  <c r="AA6" i="19"/>
  <c r="U26" i="19"/>
  <c r="U6" i="19"/>
  <c r="U36" i="19"/>
  <c r="O36" i="19"/>
  <c r="AA26" i="19"/>
  <c r="O16" i="19"/>
  <c r="AA46" i="19"/>
  <c r="O46" i="19"/>
  <c r="AM16" i="19"/>
  <c r="U16" i="19"/>
  <c r="AM26" i="19"/>
  <c r="AM46" i="19"/>
  <c r="AG16" i="19"/>
  <c r="AK41" i="19"/>
  <c r="Y21" i="19"/>
  <c r="Y11" i="19"/>
  <c r="AE11" i="19"/>
  <c r="AK21" i="19"/>
  <c r="AK11" i="19"/>
  <c r="S51" i="19"/>
  <c r="Z50" i="19"/>
  <c r="AF30" i="19"/>
  <c r="AA7" i="19"/>
  <c r="U17" i="19"/>
  <c r="AE57" i="1"/>
  <c r="AD57" i="1"/>
  <c r="AH39" i="1"/>
  <c r="T50" i="19"/>
  <c r="J21" i="19"/>
  <c r="AE30" i="1"/>
  <c r="AD30" i="1"/>
  <c r="AE31" i="19"/>
  <c r="O43" i="19"/>
  <c r="AA23" i="19"/>
  <c r="O13" i="19"/>
  <c r="U33" i="19"/>
  <c r="AG23" i="19"/>
  <c r="O33" i="19"/>
  <c r="AM13" i="19"/>
  <c r="AG13" i="19"/>
  <c r="AA43" i="19"/>
  <c r="U23" i="19"/>
  <c r="AB13" i="19"/>
  <c r="V53" i="19"/>
  <c r="P43" i="19"/>
  <c r="V33" i="19"/>
  <c r="AH21" i="19"/>
  <c r="P31" i="19"/>
  <c r="AA53" i="19"/>
  <c r="AE58" i="1"/>
  <c r="AD58" i="1"/>
  <c r="Q31" i="19"/>
  <c r="W11" i="19"/>
  <c r="K51" i="19"/>
  <c r="W21" i="19"/>
  <c r="AI51" i="19"/>
  <c r="AM43" i="19"/>
  <c r="AG53" i="19"/>
  <c r="AB11" i="19"/>
  <c r="AH51" i="19"/>
  <c r="V41" i="19"/>
  <c r="AJ15" i="19"/>
  <c r="R45" i="19"/>
  <c r="AJ35" i="19"/>
  <c r="R55" i="19"/>
  <c r="L35" i="19"/>
  <c r="R25" i="19"/>
  <c r="L15" i="19"/>
  <c r="AD55" i="19"/>
  <c r="L55" i="19"/>
  <c r="L25" i="19"/>
  <c r="X45" i="19"/>
  <c r="AD35" i="19"/>
  <c r="X55" i="19"/>
  <c r="AD25" i="19"/>
  <c r="AJ25" i="19"/>
  <c r="X15" i="19"/>
  <c r="AH69" i="1"/>
  <c r="AJ55" i="19"/>
  <c r="R35" i="19"/>
  <c r="R15" i="19"/>
  <c r="L45" i="19"/>
  <c r="AJ45" i="19"/>
  <c r="AD15" i="19"/>
  <c r="X35" i="19"/>
  <c r="AD45" i="19"/>
  <c r="X25" i="19"/>
  <c r="U13" i="19"/>
  <c r="O23" i="19"/>
  <c r="P21" i="19"/>
  <c r="J41" i="19"/>
  <c r="AB21" i="19"/>
  <c r="U53" i="19"/>
  <c r="AE61" i="1"/>
  <c r="AD61" i="1"/>
  <c r="P41" i="19"/>
  <c r="V11" i="19"/>
  <c r="AH41" i="19"/>
  <c r="AF13" i="19"/>
  <c r="AE68" i="1"/>
  <c r="AD68" i="1"/>
  <c r="O53" i="19"/>
  <c r="AD52" i="1"/>
  <c r="AE52" i="1"/>
  <c r="V31" i="19"/>
  <c r="J51" i="19"/>
  <c r="AH43" i="1"/>
  <c r="AM15" i="19"/>
  <c r="AG15" i="19"/>
  <c r="O25" i="19"/>
  <c r="U35" i="19"/>
  <c r="AM35" i="19"/>
  <c r="O55" i="19"/>
  <c r="AA15" i="19"/>
  <c r="U25" i="19"/>
  <c r="U15" i="19"/>
  <c r="AA55" i="19"/>
  <c r="AG25" i="19"/>
  <c r="AG55" i="19"/>
  <c r="U45" i="19"/>
  <c r="O45" i="19"/>
  <c r="O15" i="19"/>
  <c r="AA35" i="19"/>
  <c r="AM55" i="19"/>
  <c r="AG35" i="19"/>
  <c r="AA25" i="19"/>
  <c r="AM33" i="19"/>
  <c r="AA33" i="19"/>
  <c r="AH60" i="1"/>
  <c r="AA13" i="19"/>
  <c r="S43" i="19"/>
  <c r="AB51" i="19"/>
  <c r="V21" i="19"/>
  <c r="N40" i="19"/>
  <c r="N50" i="19"/>
  <c r="Z30" i="19"/>
  <c r="AF50" i="19"/>
  <c r="T10" i="19"/>
  <c r="Z20" i="19"/>
  <c r="N10" i="19"/>
  <c r="AL50" i="19"/>
  <c r="Z40" i="19"/>
  <c r="AE37" i="1"/>
  <c r="AC38" i="1" s="1"/>
  <c r="L28" i="19"/>
  <c r="X48" i="19"/>
  <c r="AD48" i="19"/>
  <c r="L8" i="19"/>
  <c r="AJ48" i="19"/>
  <c r="AJ28" i="19"/>
  <c r="R38" i="19"/>
  <c r="AH27" i="1"/>
  <c r="X28" i="19"/>
  <c r="AD8" i="19"/>
  <c r="L48" i="19"/>
  <c r="AD28" i="19"/>
  <c r="X8" i="19"/>
  <c r="R28" i="19"/>
  <c r="L18" i="19"/>
  <c r="R18" i="19"/>
  <c r="AD18" i="19"/>
  <c r="AD38" i="19"/>
  <c r="R48" i="19"/>
  <c r="R8" i="19"/>
  <c r="X18" i="19"/>
  <c r="AJ8" i="19"/>
  <c r="X38" i="19"/>
  <c r="AD26" i="1"/>
  <c r="AJ38" i="19"/>
  <c r="AJ18" i="19"/>
  <c r="U7" i="19"/>
  <c r="AG17" i="19"/>
  <c r="AG47" i="19"/>
  <c r="AG7" i="19"/>
  <c r="AI23" i="19"/>
  <c r="AH56" i="1"/>
  <c r="K43" i="19"/>
  <c r="AD42" i="1"/>
  <c r="AE42" i="1"/>
  <c r="AD47" i="1"/>
  <c r="AE47" i="1"/>
  <c r="U21" i="19"/>
  <c r="O41" i="19"/>
  <c r="AG21" i="19"/>
  <c r="AG51" i="19"/>
  <c r="O21" i="19"/>
  <c r="AM51" i="19"/>
  <c r="O51" i="19"/>
  <c r="AM21" i="19"/>
  <c r="AM31" i="19"/>
  <c r="AA51" i="19"/>
  <c r="AA21" i="19"/>
  <c r="AM11" i="19"/>
  <c r="AG41" i="19"/>
  <c r="O31" i="19"/>
  <c r="AA31" i="19"/>
  <c r="AG11" i="19"/>
  <c r="U31" i="19"/>
  <c r="O11" i="19"/>
  <c r="AG31" i="19"/>
  <c r="U41" i="19"/>
  <c r="U51" i="19"/>
  <c r="U11" i="19"/>
  <c r="AH48" i="1"/>
  <c r="AM41" i="19"/>
  <c r="AA11" i="19"/>
  <c r="AA41" i="19"/>
  <c r="N39" i="19"/>
  <c r="Z29" i="19"/>
  <c r="N29" i="19"/>
  <c r="AL49" i="19"/>
  <c r="T49" i="19"/>
  <c r="Z19" i="19"/>
  <c r="T29" i="19"/>
  <c r="AF19" i="19"/>
  <c r="AF29" i="19"/>
  <c r="AH35" i="1"/>
  <c r="N9" i="19"/>
  <c r="AL9" i="19"/>
  <c r="N49" i="19"/>
  <c r="N19" i="19"/>
  <c r="Z9" i="19"/>
  <c r="AF39" i="19"/>
  <c r="T9" i="19"/>
  <c r="AL39" i="19"/>
  <c r="AL19" i="19"/>
  <c r="Z39" i="19"/>
  <c r="T39" i="19"/>
  <c r="AF9" i="19"/>
  <c r="AF49" i="19"/>
  <c r="Z49" i="19"/>
  <c r="T19" i="19"/>
  <c r="AL29" i="19"/>
  <c r="AG24" i="19"/>
  <c r="AM14" i="19"/>
  <c r="O24" i="19"/>
  <c r="AA54" i="19"/>
  <c r="AA34" i="19"/>
  <c r="AA14" i="19"/>
  <c r="O34" i="19"/>
  <c r="U54" i="19"/>
  <c r="AG54" i="19"/>
  <c r="O14" i="19"/>
  <c r="AM54" i="19"/>
  <c r="O54" i="19"/>
  <c r="AA24" i="19"/>
  <c r="AM24" i="19"/>
  <c r="U24" i="19"/>
  <c r="O44" i="19"/>
  <c r="AM44" i="19"/>
  <c r="AA44" i="19"/>
  <c r="U14" i="19"/>
  <c r="U34" i="19"/>
  <c r="AG44" i="19"/>
  <c r="U44" i="19"/>
  <c r="AG34" i="19"/>
  <c r="AM34" i="19"/>
  <c r="AG14" i="19"/>
  <c r="AH66" i="1"/>
  <c r="AE36" i="1"/>
  <c r="AD36" i="1"/>
  <c r="P19" i="1"/>
  <c r="Q19" i="1" s="1"/>
  <c r="P67" i="1"/>
  <c r="Q67" i="1" s="1"/>
  <c r="P13" i="1"/>
  <c r="Q13" i="1" s="1"/>
  <c r="P43" i="1"/>
  <c r="Q43" i="1" s="1"/>
  <c r="P25" i="1"/>
  <c r="Q25" i="1" s="1"/>
  <c r="P31" i="1"/>
  <c r="Q31" i="1" s="1"/>
  <c r="P61" i="1"/>
  <c r="Q61" i="1" s="1"/>
  <c r="P55" i="1"/>
  <c r="Q55" i="1" s="1"/>
  <c r="P37" i="1"/>
  <c r="Q37" i="1" s="1"/>
  <c r="P49" i="1"/>
  <c r="Q49" i="1" s="1"/>
  <c r="AI34" i="19"/>
  <c r="K44" i="19"/>
  <c r="W44" i="19"/>
  <c r="AC34" i="19"/>
  <c r="AC24" i="19"/>
  <c r="AI14" i="19"/>
  <c r="K54" i="19"/>
  <c r="Q54" i="19"/>
  <c r="K14" i="19"/>
  <c r="Q44" i="19"/>
  <c r="K24" i="19"/>
  <c r="W34" i="19"/>
  <c r="K34" i="19"/>
  <c r="Q24" i="19"/>
  <c r="W54" i="19"/>
  <c r="Q14" i="19"/>
  <c r="Q34" i="19"/>
  <c r="AC54" i="19"/>
  <c r="W24" i="19"/>
  <c r="W14" i="19"/>
  <c r="AI44" i="19"/>
  <c r="AC44" i="19"/>
  <c r="AC14" i="19"/>
  <c r="AH62" i="1"/>
  <c r="AI24" i="19"/>
  <c r="AI54" i="19"/>
  <c r="AD65" i="1"/>
  <c r="AE65" i="1"/>
  <c r="R12" i="19"/>
  <c r="R32" i="19"/>
  <c r="X22" i="19"/>
  <c r="AJ22" i="19"/>
  <c r="AH51" i="1"/>
  <c r="AD22" i="19"/>
  <c r="L52" i="19"/>
  <c r="X52" i="19"/>
  <c r="X12" i="19"/>
  <c r="AD52" i="19"/>
  <c r="L22" i="19"/>
  <c r="AJ42" i="19"/>
  <c r="L42" i="19"/>
  <c r="X32" i="19"/>
  <c r="AJ32" i="19"/>
  <c r="AD12" i="19"/>
  <c r="X42" i="19"/>
  <c r="L12" i="19"/>
  <c r="R22" i="19"/>
  <c r="R52" i="19"/>
  <c r="R42" i="19"/>
  <c r="AD32" i="19"/>
  <c r="AJ52" i="19"/>
  <c r="AD42" i="19"/>
  <c r="AJ12" i="19"/>
  <c r="L32" i="19"/>
  <c r="AD14" i="1"/>
  <c r="AE14" i="1"/>
  <c r="AI43" i="19" l="1"/>
  <c r="K53" i="19"/>
  <c r="Q13" i="19"/>
  <c r="Q33" i="19"/>
  <c r="J33" i="19"/>
  <c r="X26" i="19"/>
  <c r="AJ36" i="19"/>
  <c r="AD16" i="19"/>
  <c r="AJ46" i="19"/>
  <c r="L36" i="19"/>
  <c r="X36" i="19"/>
  <c r="X6" i="19"/>
  <c r="AD36" i="19"/>
  <c r="X16" i="19"/>
  <c r="R36" i="19"/>
  <c r="AD26" i="19"/>
  <c r="X46" i="19"/>
  <c r="AH15" i="1"/>
  <c r="AJ6" i="19"/>
  <c r="L16" i="19"/>
  <c r="L26" i="19"/>
  <c r="R6" i="19"/>
  <c r="L6" i="19"/>
  <c r="R16" i="19"/>
  <c r="L46" i="19"/>
  <c r="R26" i="19"/>
  <c r="AJ26" i="19"/>
  <c r="AD6" i="19"/>
  <c r="R46" i="19"/>
  <c r="AJ16" i="19"/>
  <c r="AD46" i="19"/>
  <c r="AB33" i="19"/>
  <c r="V43" i="19"/>
  <c r="V23" i="19"/>
  <c r="P33" i="19"/>
  <c r="P53" i="19"/>
  <c r="AH13" i="19"/>
  <c r="AB43" i="19"/>
  <c r="AB23" i="19"/>
  <c r="J13" i="19"/>
  <c r="AH55" i="1"/>
  <c r="V13" i="19"/>
  <c r="J53" i="19"/>
  <c r="Q23" i="19"/>
  <c r="AC33" i="19"/>
  <c r="AI33" i="19"/>
  <c r="K13" i="19"/>
  <c r="AB53" i="19"/>
  <c r="AH43" i="19"/>
  <c r="AH24" i="1"/>
  <c r="AM37" i="19"/>
  <c r="U37" i="19"/>
  <c r="O17" i="19"/>
  <c r="O47" i="19"/>
  <c r="AM17" i="19"/>
  <c r="AG27" i="19"/>
  <c r="AA37" i="19"/>
  <c r="AA27" i="19"/>
  <c r="U27" i="19"/>
  <c r="O37" i="19"/>
  <c r="U47" i="19"/>
  <c r="O7" i="19"/>
  <c r="O27" i="19"/>
  <c r="AM27" i="19"/>
  <c r="AM7" i="19"/>
  <c r="AA17" i="19"/>
  <c r="AA47" i="19"/>
  <c r="K23" i="19"/>
  <c r="Q43" i="19"/>
  <c r="AC53" i="19"/>
  <c r="AH53" i="19"/>
  <c r="P13" i="19"/>
  <c r="J23" i="19"/>
  <c r="AC23" i="19"/>
  <c r="W43" i="19"/>
  <c r="W33" i="19"/>
  <c r="W53" i="19"/>
  <c r="AI53" i="19"/>
  <c r="K33" i="19"/>
  <c r="AC43" i="19"/>
  <c r="AE38" i="1"/>
  <c r="AD38" i="1"/>
  <c r="AH23" i="19"/>
  <c r="AC13" i="19"/>
  <c r="Q53" i="19"/>
  <c r="W13" i="19"/>
  <c r="AI13" i="19"/>
  <c r="AG37" i="19"/>
  <c r="P23" i="19"/>
  <c r="J43" i="19"/>
  <c r="AM47" i="19"/>
  <c r="R43" i="19"/>
  <c r="AD13" i="19"/>
  <c r="AJ33" i="19"/>
  <c r="AH57" i="1"/>
  <c r="R13" i="19"/>
  <c r="L33" i="19"/>
  <c r="R53" i="19"/>
  <c r="L23" i="19"/>
  <c r="AJ13" i="19"/>
  <c r="AJ53" i="19"/>
  <c r="X43" i="19"/>
  <c r="L53" i="19"/>
  <c r="X53" i="19"/>
  <c r="AD33" i="19"/>
  <c r="X23" i="19"/>
  <c r="AD23" i="19"/>
  <c r="AJ43" i="19"/>
  <c r="R23" i="19"/>
  <c r="AD53" i="19"/>
  <c r="X33" i="19"/>
  <c r="AJ23" i="19"/>
  <c r="L13" i="19"/>
  <c r="AD43" i="19"/>
  <c r="L43" i="19"/>
  <c r="R33" i="19"/>
  <c r="X13" i="19"/>
  <c r="U52" i="19"/>
  <c r="AA12" i="19"/>
  <c r="AA42" i="19"/>
  <c r="AA32" i="19"/>
  <c r="AG32" i="19"/>
  <c r="AA22" i="19"/>
  <c r="AM32" i="19"/>
  <c r="O52" i="19"/>
  <c r="U22" i="19"/>
  <c r="AM12" i="19"/>
  <c r="AH54" i="1"/>
  <c r="AG52" i="19"/>
  <c r="AM42" i="19"/>
  <c r="AM52" i="19"/>
  <c r="AA52" i="19"/>
  <c r="O22" i="19"/>
  <c r="AM22" i="19"/>
  <c r="O12" i="19"/>
  <c r="O42" i="19"/>
  <c r="O32" i="19"/>
  <c r="AG12" i="19"/>
  <c r="U32" i="19"/>
  <c r="U12" i="19"/>
  <c r="U42" i="19"/>
  <c r="AG22" i="19"/>
  <c r="AG42" i="19"/>
  <c r="O8" i="19"/>
  <c r="U8" i="19"/>
  <c r="AG8" i="19"/>
  <c r="AG28" i="19"/>
  <c r="AM38" i="19"/>
  <c r="O48" i="19"/>
  <c r="AA28" i="19"/>
  <c r="AA38" i="19"/>
  <c r="AG18" i="19"/>
  <c r="U48" i="19"/>
  <c r="U28" i="19"/>
  <c r="AA8" i="19"/>
  <c r="AA48" i="19"/>
  <c r="AM18" i="19"/>
  <c r="AG38" i="19"/>
  <c r="AH30" i="1"/>
  <c r="AG48" i="19"/>
  <c r="U38" i="19"/>
  <c r="AA18" i="19"/>
  <c r="O18" i="19"/>
  <c r="O38" i="19"/>
  <c r="U18" i="19"/>
  <c r="O28" i="19"/>
  <c r="AM28" i="19"/>
  <c r="AM8" i="19"/>
  <c r="AM48" i="19"/>
  <c r="Q55" i="19"/>
  <c r="K55" i="19"/>
  <c r="W35" i="19"/>
  <c r="AC15" i="19"/>
  <c r="Q25" i="19"/>
  <c r="AC55" i="19"/>
  <c r="AC25" i="19"/>
  <c r="AI55" i="19"/>
  <c r="K45" i="19"/>
  <c r="AC45" i="19"/>
  <c r="W55" i="19"/>
  <c r="AH68" i="1"/>
  <c r="AC35" i="19"/>
  <c r="W45" i="19"/>
  <c r="W15" i="19"/>
  <c r="W25" i="19"/>
  <c r="Q45" i="19"/>
  <c r="Q15" i="19"/>
  <c r="AI45" i="19"/>
  <c r="AI15" i="19"/>
  <c r="AI35" i="19"/>
  <c r="K25" i="19"/>
  <c r="K15" i="19"/>
  <c r="AI25" i="19"/>
  <c r="Q35" i="19"/>
  <c r="K35" i="19"/>
  <c r="AE13" i="19"/>
  <c r="S23" i="19"/>
  <c r="AK33" i="19"/>
  <c r="Y33" i="19"/>
  <c r="AE53" i="19"/>
  <c r="AK53" i="19"/>
  <c r="S33" i="19"/>
  <c r="S13" i="19"/>
  <c r="M43" i="19"/>
  <c r="AK23" i="19"/>
  <c r="Y43" i="19"/>
  <c r="Y53" i="19"/>
  <c r="AE23" i="19"/>
  <c r="AK13" i="19"/>
  <c r="Y13" i="19"/>
  <c r="M23" i="19"/>
  <c r="M53" i="19"/>
  <c r="Y23" i="19"/>
  <c r="M33" i="19"/>
  <c r="M13" i="19"/>
  <c r="S53" i="19"/>
  <c r="AE33" i="19"/>
  <c r="AK43" i="19"/>
  <c r="AE43" i="19"/>
  <c r="AH58" i="1"/>
  <c r="AE22" i="19"/>
  <c r="Y52" i="19"/>
  <c r="Y22" i="19"/>
  <c r="Y32" i="19"/>
  <c r="S12" i="19"/>
  <c r="Y42" i="19"/>
  <c r="AK22" i="19"/>
  <c r="Y12" i="19"/>
  <c r="AK52" i="19"/>
  <c r="M32" i="19"/>
  <c r="S22" i="19"/>
  <c r="AK42" i="19"/>
  <c r="AE42" i="19"/>
  <c r="M42" i="19"/>
  <c r="S42" i="19"/>
  <c r="S52" i="19"/>
  <c r="M22" i="19"/>
  <c r="AK12" i="19"/>
  <c r="AH52" i="1"/>
  <c r="AK32" i="19"/>
  <c r="S32" i="19"/>
  <c r="M52" i="19"/>
  <c r="AE12" i="19"/>
  <c r="M12" i="19"/>
  <c r="AE32" i="19"/>
  <c r="AE52" i="19"/>
  <c r="AB24" i="19"/>
  <c r="V34" i="19"/>
  <c r="P54" i="19"/>
  <c r="AB44" i="19"/>
  <c r="P34" i="19"/>
  <c r="AH34" i="19"/>
  <c r="J34" i="19"/>
  <c r="J44" i="19"/>
  <c r="J24" i="19"/>
  <c r="AH24" i="19"/>
  <c r="AH44" i="19"/>
  <c r="P14" i="19"/>
  <c r="J14" i="19"/>
  <c r="AH61" i="1"/>
  <c r="AH14" i="19"/>
  <c r="V44" i="19"/>
  <c r="AB34" i="19"/>
  <c r="AB14" i="19"/>
  <c r="P44" i="19"/>
  <c r="AB54" i="19"/>
  <c r="P24" i="19"/>
  <c r="J54" i="19"/>
  <c r="V54" i="19"/>
  <c r="AH54" i="19"/>
  <c r="V24" i="19"/>
  <c r="V14" i="19"/>
  <c r="X10" i="18"/>
  <c r="R26" i="18"/>
  <c r="AD26" i="18"/>
  <c r="AJ34" i="18"/>
  <c r="X42" i="18"/>
  <c r="AJ26" i="18"/>
  <c r="R10" i="18"/>
  <c r="L42" i="18"/>
  <c r="R55" i="1"/>
  <c r="AJ18" i="18"/>
  <c r="AJ42" i="18"/>
  <c r="AD10" i="18"/>
  <c r="X34" i="18"/>
  <c r="X18" i="18"/>
  <c r="AD18" i="18"/>
  <c r="L18" i="18"/>
  <c r="R42" i="18"/>
  <c r="S55" i="1"/>
  <c r="L10" i="18"/>
  <c r="AJ10" i="18"/>
  <c r="R34" i="18"/>
  <c r="AD42" i="18"/>
  <c r="L34" i="18"/>
  <c r="AD34" i="18"/>
  <c r="L26" i="18"/>
  <c r="R18" i="18"/>
  <c r="X26" i="18"/>
  <c r="O9" i="19"/>
  <c r="AA39" i="19"/>
  <c r="AG49" i="19"/>
  <c r="O39" i="19"/>
  <c r="AG39" i="19"/>
  <c r="O49" i="19"/>
  <c r="AG29" i="19"/>
  <c r="U39" i="19"/>
  <c r="AM39" i="19"/>
  <c r="AM49" i="19"/>
  <c r="U49" i="19"/>
  <c r="AM9" i="19"/>
  <c r="AH36" i="1"/>
  <c r="AA9" i="19"/>
  <c r="AM29" i="19"/>
  <c r="U29" i="19"/>
  <c r="AA49" i="19"/>
  <c r="AA29" i="19"/>
  <c r="O19" i="19"/>
  <c r="O29" i="19"/>
  <c r="AG19" i="19"/>
  <c r="AM19" i="19"/>
  <c r="AA19" i="19"/>
  <c r="AG9" i="19"/>
  <c r="U9" i="19"/>
  <c r="U19" i="19"/>
  <c r="AL42" i="18"/>
  <c r="T10" i="18"/>
  <c r="Z18" i="18"/>
  <c r="Z10" i="18"/>
  <c r="AF26" i="18"/>
  <c r="T18" i="18"/>
  <c r="Z34" i="18"/>
  <c r="N10" i="18"/>
  <c r="AF18" i="18"/>
  <c r="N42" i="18"/>
  <c r="AF34" i="18"/>
  <c r="N34" i="18"/>
  <c r="AL26" i="18"/>
  <c r="AF10" i="18"/>
  <c r="Z26" i="18"/>
  <c r="N18" i="18"/>
  <c r="S61" i="1"/>
  <c r="AL10" i="18"/>
  <c r="AL34" i="18"/>
  <c r="T26" i="18"/>
  <c r="AF42" i="18"/>
  <c r="T34" i="18"/>
  <c r="T42" i="18"/>
  <c r="Z42" i="18"/>
  <c r="AL18" i="18"/>
  <c r="N26" i="18"/>
  <c r="R61" i="1"/>
  <c r="T41" i="19"/>
  <c r="AF21" i="19"/>
  <c r="AF51" i="19"/>
  <c r="AL31" i="19"/>
  <c r="T31" i="19"/>
  <c r="N21" i="19"/>
  <c r="Z51" i="19"/>
  <c r="AL41" i="19"/>
  <c r="N41" i="19"/>
  <c r="AL21" i="19"/>
  <c r="AF41" i="19"/>
  <c r="AH47" i="1"/>
  <c r="Z31" i="19"/>
  <c r="N31" i="19"/>
  <c r="AL11" i="19"/>
  <c r="AF11" i="19"/>
  <c r="T21" i="19"/>
  <c r="N51" i="19"/>
  <c r="Z11" i="19"/>
  <c r="Z41" i="19"/>
  <c r="Z21" i="19"/>
  <c r="T11" i="19"/>
  <c r="AF31" i="19"/>
  <c r="AL51" i="19"/>
  <c r="T51" i="19"/>
  <c r="N11" i="19"/>
  <c r="AH32" i="18"/>
  <c r="AB16" i="18"/>
  <c r="V32" i="18"/>
  <c r="AB32" i="18"/>
  <c r="V40" i="18"/>
  <c r="J24" i="18"/>
  <c r="AH16" i="18"/>
  <c r="J16" i="18"/>
  <c r="AH8" i="18"/>
  <c r="AB40" i="18"/>
  <c r="AB8" i="18"/>
  <c r="J40" i="18"/>
  <c r="S31" i="1"/>
  <c r="P24" i="18"/>
  <c r="V8" i="18"/>
  <c r="P16" i="18"/>
  <c r="AH24" i="18"/>
  <c r="V16" i="18"/>
  <c r="AH40" i="18"/>
  <c r="P40" i="18"/>
  <c r="V24" i="18"/>
  <c r="P32" i="18"/>
  <c r="AB24" i="18"/>
  <c r="J32" i="18"/>
  <c r="P8" i="18"/>
  <c r="R31" i="1"/>
  <c r="AG31" i="1" s="1"/>
  <c r="J8" i="18"/>
  <c r="AF44" i="19"/>
  <c r="Z44" i="19"/>
  <c r="Z54" i="19"/>
  <c r="T44" i="19"/>
  <c r="Z24" i="19"/>
  <c r="AL54" i="19"/>
  <c r="AL34" i="19"/>
  <c r="N14" i="19"/>
  <c r="T14" i="19"/>
  <c r="T54" i="19"/>
  <c r="N44" i="19"/>
  <c r="N54" i="19"/>
  <c r="AL24" i="19"/>
  <c r="T24" i="19"/>
  <c r="T34" i="19"/>
  <c r="Z34" i="19"/>
  <c r="AF54" i="19"/>
  <c r="N24" i="19"/>
  <c r="Z14" i="19"/>
  <c r="AH65" i="1"/>
  <c r="AF34" i="19"/>
  <c r="AL44" i="19"/>
  <c r="AF24" i="19"/>
  <c r="AL14" i="19"/>
  <c r="N34" i="19"/>
  <c r="AF14" i="19"/>
  <c r="Z30" i="18"/>
  <c r="Z22" i="18"/>
  <c r="T14" i="18"/>
  <c r="N38" i="18"/>
  <c r="AF22" i="18"/>
  <c r="AL38" i="18"/>
  <c r="Z6" i="18"/>
  <c r="AL6" i="18"/>
  <c r="AL30" i="18"/>
  <c r="AF6" i="18"/>
  <c r="N6" i="18"/>
  <c r="N14" i="18"/>
  <c r="AF14" i="18"/>
  <c r="AL22" i="18"/>
  <c r="Z14" i="18"/>
  <c r="T30" i="18"/>
  <c r="T22" i="18"/>
  <c r="AF38" i="18"/>
  <c r="T38" i="18"/>
  <c r="AF30" i="18"/>
  <c r="T6" i="18"/>
  <c r="Z38" i="18"/>
  <c r="N22" i="18"/>
  <c r="R25" i="1"/>
  <c r="AG25" i="1" s="1"/>
  <c r="AL14" i="18"/>
  <c r="N30" i="18"/>
  <c r="S25" i="1"/>
  <c r="AG10" i="19"/>
  <c r="AG40" i="19"/>
  <c r="U50" i="19"/>
  <c r="AA50" i="19"/>
  <c r="U10" i="19"/>
  <c r="O30" i="19"/>
  <c r="O40" i="19"/>
  <c r="U20" i="19"/>
  <c r="AA30" i="19"/>
  <c r="AA40" i="19"/>
  <c r="U30" i="19"/>
  <c r="O10" i="19"/>
  <c r="AM10" i="19"/>
  <c r="O20" i="19"/>
  <c r="AA10" i="19"/>
  <c r="AH42" i="1"/>
  <c r="AG50" i="19"/>
  <c r="AM30" i="19"/>
  <c r="AM40" i="19"/>
  <c r="AG20" i="19"/>
  <c r="AG30" i="19"/>
  <c r="AM50" i="19"/>
  <c r="U40" i="19"/>
  <c r="AM20" i="19"/>
  <c r="AA20" i="19"/>
  <c r="O50" i="19"/>
  <c r="AL32" i="18"/>
  <c r="AL16" i="18"/>
  <c r="AF32" i="18"/>
  <c r="Z32" i="18"/>
  <c r="T40" i="18"/>
  <c r="Z16" i="18"/>
  <c r="N24" i="18"/>
  <c r="AL24" i="18"/>
  <c r="R43" i="1"/>
  <c r="AL8" i="18"/>
  <c r="T32" i="18"/>
  <c r="S43" i="1"/>
  <c r="T16" i="18"/>
  <c r="N16" i="18"/>
  <c r="Z40" i="18"/>
  <c r="AL40" i="18"/>
  <c r="T8" i="18"/>
  <c r="AF8" i="18"/>
  <c r="AF40" i="18"/>
  <c r="AF24" i="18"/>
  <c r="AF16" i="18"/>
  <c r="Z8" i="18"/>
  <c r="N8" i="18"/>
  <c r="N32" i="18"/>
  <c r="T24" i="18"/>
  <c r="Z24" i="18"/>
  <c r="N40" i="18"/>
  <c r="J22" i="18"/>
  <c r="P22" i="18"/>
  <c r="AB22" i="18"/>
  <c r="P38" i="18"/>
  <c r="AB38" i="18"/>
  <c r="P6" i="18"/>
  <c r="AH14" i="18"/>
  <c r="AB14" i="18"/>
  <c r="AB30" i="18"/>
  <c r="J6" i="18"/>
  <c r="AH38" i="18"/>
  <c r="V6" i="18"/>
  <c r="V22" i="18"/>
  <c r="AB6" i="18"/>
  <c r="R13" i="1"/>
  <c r="AG13" i="1" s="1"/>
  <c r="P30" i="18"/>
  <c r="V38" i="18"/>
  <c r="AH6" i="18"/>
  <c r="AH22" i="18"/>
  <c r="P14" i="18"/>
  <c r="V30" i="18"/>
  <c r="S13" i="1"/>
  <c r="V14" i="18"/>
  <c r="J14" i="18"/>
  <c r="J30" i="18"/>
  <c r="AH30" i="18"/>
  <c r="J38" i="18"/>
  <c r="J18" i="18"/>
  <c r="J34" i="18"/>
  <c r="R49" i="1"/>
  <c r="V18" i="18"/>
  <c r="AB18" i="18"/>
  <c r="V26" i="18"/>
  <c r="P18" i="18"/>
  <c r="J10" i="18"/>
  <c r="AH34" i="18"/>
  <c r="P34" i="18"/>
  <c r="S49" i="1"/>
  <c r="AB26" i="18"/>
  <c r="J26" i="18"/>
  <c r="P10" i="18"/>
  <c r="AH42" i="18"/>
  <c r="AB10" i="18"/>
  <c r="AB42" i="18"/>
  <c r="J42" i="18"/>
  <c r="V10" i="18"/>
  <c r="AH10" i="18"/>
  <c r="P26" i="18"/>
  <c r="V42" i="18"/>
  <c r="AB34" i="18"/>
  <c r="AH18" i="18"/>
  <c r="AH26" i="18"/>
  <c r="V34" i="18"/>
  <c r="P42" i="18"/>
  <c r="J28" i="18"/>
  <c r="V44" i="18"/>
  <c r="AB36" i="18"/>
  <c r="J20" i="18"/>
  <c r="P12" i="18"/>
  <c r="J44" i="18"/>
  <c r="V36" i="18"/>
  <c r="J12" i="18"/>
  <c r="P44" i="18"/>
  <c r="AH12" i="18"/>
  <c r="P20" i="18"/>
  <c r="V28" i="18"/>
  <c r="AB12" i="18"/>
  <c r="AH36" i="18"/>
  <c r="AH28" i="18"/>
  <c r="J36" i="18"/>
  <c r="V12" i="18"/>
  <c r="P28" i="18"/>
  <c r="AH44" i="18"/>
  <c r="P36" i="18"/>
  <c r="V20" i="18"/>
  <c r="R67" i="1"/>
  <c r="AB44" i="18"/>
  <c r="AB20" i="18"/>
  <c r="S67" i="1"/>
  <c r="AH20" i="18"/>
  <c r="AB28" i="18"/>
  <c r="AJ32" i="18"/>
  <c r="R24" i="18"/>
  <c r="AJ8" i="18"/>
  <c r="L32" i="18"/>
  <c r="R37" i="1"/>
  <c r="AG37" i="1" s="1"/>
  <c r="X40" i="18"/>
  <c r="AJ40" i="18"/>
  <c r="X16" i="18"/>
  <c r="AD32" i="18"/>
  <c r="X24" i="18"/>
  <c r="R16" i="18"/>
  <c r="L24" i="18"/>
  <c r="L16" i="18"/>
  <c r="AJ16" i="18"/>
  <c r="X32" i="18"/>
  <c r="AD40" i="18"/>
  <c r="X8" i="18"/>
  <c r="L8" i="18"/>
  <c r="R40" i="18"/>
  <c r="R8" i="18"/>
  <c r="R32" i="18"/>
  <c r="AJ24" i="18"/>
  <c r="AD24" i="18"/>
  <c r="S37" i="1"/>
  <c r="AD16" i="18"/>
  <c r="L40" i="18"/>
  <c r="AD8" i="18"/>
  <c r="R19" i="1"/>
  <c r="AG19" i="1" s="1"/>
  <c r="X14" i="18"/>
  <c r="AJ30" i="18"/>
  <c r="L22" i="18"/>
  <c r="L30" i="18"/>
  <c r="AJ22" i="18"/>
  <c r="AD22" i="18"/>
  <c r="X38" i="18"/>
  <c r="AD6" i="18"/>
  <c r="AJ14" i="18"/>
  <c r="L6" i="18"/>
  <c r="X22" i="18"/>
  <c r="L38" i="18"/>
  <c r="AD38" i="18"/>
  <c r="X6" i="18"/>
  <c r="R22" i="18"/>
  <c r="R38" i="18"/>
  <c r="AJ38" i="18"/>
  <c r="R30" i="18"/>
  <c r="R14" i="18"/>
  <c r="AD14" i="18"/>
  <c r="AD30" i="18"/>
  <c r="L14" i="18"/>
  <c r="R6" i="18"/>
  <c r="X30" i="18"/>
  <c r="AJ6" i="18"/>
  <c r="S19" i="1"/>
  <c r="AF37" i="1" l="1"/>
  <c r="P10" i="19" s="1"/>
  <c r="AG38" i="1"/>
  <c r="AF38" i="1" s="1"/>
  <c r="AF31" i="1"/>
  <c r="J39" i="19" s="1"/>
  <c r="AG32" i="1"/>
  <c r="AF32" i="1" s="1"/>
  <c r="AH50" i="19"/>
  <c r="AH20" i="19"/>
  <c r="J10" i="19"/>
  <c r="P30" i="19"/>
  <c r="AH10" i="19"/>
  <c r="J30" i="19"/>
  <c r="AH37" i="1"/>
  <c r="AB40" i="19"/>
  <c r="P50" i="19"/>
  <c r="AH40" i="19"/>
  <c r="J40" i="19"/>
  <c r="AH30" i="19"/>
  <c r="AB50" i="19"/>
  <c r="V10" i="19"/>
  <c r="AB30" i="19"/>
  <c r="V40" i="19"/>
  <c r="V30" i="19"/>
  <c r="P20" i="19"/>
  <c r="V50" i="19"/>
  <c r="AB20" i="19"/>
  <c r="J50" i="19"/>
  <c r="V20" i="19"/>
  <c r="P40" i="19"/>
  <c r="AF25" i="1"/>
  <c r="V28" i="19" s="1"/>
  <c r="AG26" i="1"/>
  <c r="AF26" i="1" s="1"/>
  <c r="AF19" i="1"/>
  <c r="AB17" i="19" s="1"/>
  <c r="AG20" i="1"/>
  <c r="AF20" i="1" s="1"/>
  <c r="AG14" i="1"/>
  <c r="AF14" i="1" s="1"/>
  <c r="AF13" i="1"/>
  <c r="J20" i="19" l="1"/>
  <c r="AB10" i="19"/>
  <c r="K40" i="19"/>
  <c r="AI10" i="19"/>
  <c r="W50" i="19"/>
  <c r="AI30" i="19"/>
  <c r="Q40" i="19"/>
  <c r="AC20" i="19"/>
  <c r="W10" i="19"/>
  <c r="AC50" i="19"/>
  <c r="AH38" i="1"/>
  <c r="W20" i="19"/>
  <c r="AI40" i="19"/>
  <c r="Q50" i="19"/>
  <c r="AC40" i="19"/>
  <c r="AC30" i="19"/>
  <c r="Q10" i="19"/>
  <c r="AC10" i="19"/>
  <c r="K50" i="19"/>
  <c r="AI20" i="19"/>
  <c r="Q30" i="19"/>
  <c r="AI50" i="19"/>
  <c r="W40" i="19"/>
  <c r="K30" i="19"/>
  <c r="K10" i="19"/>
  <c r="W30" i="19"/>
  <c r="K20" i="19"/>
  <c r="Q20" i="19"/>
  <c r="P49" i="19"/>
  <c r="V9" i="19"/>
  <c r="J9" i="19"/>
  <c r="P29" i="19"/>
  <c r="AB19" i="19"/>
  <c r="P19" i="19"/>
  <c r="V29" i="19"/>
  <c r="J49" i="19"/>
  <c r="AH29" i="19"/>
  <c r="P9" i="19"/>
  <c r="J29" i="19"/>
  <c r="AH19" i="19"/>
  <c r="V49" i="19"/>
  <c r="AH31" i="1"/>
  <c r="AH39" i="19"/>
  <c r="AH9" i="19"/>
  <c r="V39" i="19"/>
  <c r="AH49" i="19"/>
  <c r="J19" i="19"/>
  <c r="AB39" i="19"/>
  <c r="P39" i="19"/>
  <c r="AB29" i="19"/>
  <c r="V19" i="19"/>
  <c r="AB9" i="19"/>
  <c r="AB49" i="19"/>
  <c r="AI9" i="19"/>
  <c r="AI29" i="19"/>
  <c r="K39" i="19"/>
  <c r="W9" i="19"/>
  <c r="AI39" i="19"/>
  <c r="Q39" i="19"/>
  <c r="K49" i="19"/>
  <c r="W19" i="19"/>
  <c r="AC19" i="19"/>
  <c r="W29" i="19"/>
  <c r="Q29" i="19"/>
  <c r="W49" i="19"/>
  <c r="Q49" i="19"/>
  <c r="K29" i="19"/>
  <c r="AC49" i="19"/>
  <c r="AI19" i="19"/>
  <c r="K9" i="19"/>
  <c r="AI49" i="19"/>
  <c r="AC39" i="19"/>
  <c r="AH32" i="1"/>
  <c r="Q19" i="19"/>
  <c r="W39" i="19"/>
  <c r="Q9" i="19"/>
  <c r="AC29" i="19"/>
  <c r="K19" i="19"/>
  <c r="AC9" i="19"/>
  <c r="P18" i="19"/>
  <c r="AH28" i="19"/>
  <c r="AB18" i="19"/>
  <c r="AH38" i="19"/>
  <c r="AH18" i="19"/>
  <c r="J8" i="19"/>
  <c r="V38" i="19"/>
  <c r="AH48" i="19"/>
  <c r="AB8" i="19"/>
  <c r="AB48" i="19"/>
  <c r="AH8" i="19"/>
  <c r="V8" i="19"/>
  <c r="P38" i="19"/>
  <c r="P8" i="19"/>
  <c r="AB28" i="19"/>
  <c r="AB38" i="19"/>
  <c r="P28" i="19"/>
  <c r="J38" i="19"/>
  <c r="J48" i="19"/>
  <c r="V48" i="19"/>
  <c r="AH25" i="1"/>
  <c r="J28" i="19"/>
  <c r="V18" i="19"/>
  <c r="P48" i="19"/>
  <c r="J18" i="19"/>
  <c r="AC48" i="19"/>
  <c r="K18" i="19"/>
  <c r="AI8" i="19"/>
  <c r="Q38" i="19"/>
  <c r="K48" i="19"/>
  <c r="AI48" i="19"/>
  <c r="K8" i="19"/>
  <c r="W18" i="19"/>
  <c r="AC18" i="19"/>
  <c r="W38" i="19"/>
  <c r="AI38" i="19"/>
  <c r="Q48" i="19"/>
  <c r="W28" i="19"/>
  <c r="Q28" i="19"/>
  <c r="AH26" i="1"/>
  <c r="W48" i="19"/>
  <c r="Q8" i="19"/>
  <c r="AC28" i="19"/>
  <c r="K38" i="19"/>
  <c r="W8" i="19"/>
  <c r="AC38" i="19"/>
  <c r="K28" i="19"/>
  <c r="AI28" i="19"/>
  <c r="Q18" i="19"/>
  <c r="AC8" i="19"/>
  <c r="AI18" i="19"/>
  <c r="AH19" i="1"/>
  <c r="V37" i="19"/>
  <c r="P27" i="19"/>
  <c r="V7" i="19"/>
  <c r="V27" i="19"/>
  <c r="AH37" i="19"/>
  <c r="AH27" i="19"/>
  <c r="J7" i="19"/>
  <c r="AH17" i="19"/>
  <c r="P37" i="19"/>
  <c r="J47" i="19"/>
  <c r="AB37" i="19"/>
  <c r="AH7" i="19"/>
  <c r="J17" i="19"/>
  <c r="J37" i="19"/>
  <c r="V17" i="19"/>
  <c r="P7" i="19"/>
  <c r="AB47" i="19"/>
  <c r="V47" i="19"/>
  <c r="P17" i="19"/>
  <c r="AB7" i="19"/>
  <c r="AH47" i="19"/>
  <c r="AB27" i="19"/>
  <c r="J27" i="19"/>
  <c r="P47" i="19"/>
  <c r="AC47" i="19"/>
  <c r="AC27" i="19"/>
  <c r="Q7" i="19"/>
  <c r="K17" i="19"/>
  <c r="AC17" i="19"/>
  <c r="K47" i="19"/>
  <c r="Q27" i="19"/>
  <c r="W7" i="19"/>
  <c r="W17" i="19"/>
  <c r="AI27" i="19"/>
  <c r="W47" i="19"/>
  <c r="K27" i="19"/>
  <c r="AH20" i="1"/>
  <c r="K37" i="19"/>
  <c r="AI47" i="19"/>
  <c r="W37" i="19"/>
  <c r="Q37" i="19"/>
  <c r="K7" i="19"/>
  <c r="AC7" i="19"/>
  <c r="AI7" i="19"/>
  <c r="AC37" i="19"/>
  <c r="AI17" i="19"/>
  <c r="Q17" i="19"/>
  <c r="Q47" i="19"/>
  <c r="AI37" i="19"/>
  <c r="W27" i="19"/>
  <c r="AI16" i="19"/>
  <c r="AC16" i="19"/>
  <c r="K16" i="19"/>
  <c r="K36" i="19"/>
  <c r="Q6" i="19"/>
  <c r="W36" i="19"/>
  <c r="W46" i="19"/>
  <c r="AC6" i="19"/>
  <c r="K46" i="19"/>
  <c r="AI46" i="19"/>
  <c r="Q26" i="19"/>
  <c r="K26" i="19"/>
  <c r="Q36" i="19"/>
  <c r="Q46" i="19"/>
  <c r="AC26" i="19"/>
  <c r="W16" i="19"/>
  <c r="AI36" i="19"/>
  <c r="AI26" i="19"/>
  <c r="AI6" i="19"/>
  <c r="AH14" i="1"/>
  <c r="W26" i="19"/>
  <c r="AC36" i="19"/>
  <c r="AC46" i="19"/>
  <c r="W6" i="19"/>
  <c r="Q16" i="19"/>
  <c r="K6" i="19"/>
  <c r="P6" i="19"/>
  <c r="J16" i="19"/>
  <c r="AH26" i="19"/>
  <c r="V6" i="19"/>
  <c r="AB46" i="19"/>
  <c r="J26" i="19"/>
  <c r="AB16" i="19"/>
  <c r="AB6" i="19"/>
  <c r="P46" i="19"/>
  <c r="AH36" i="19"/>
  <c r="AH6" i="19"/>
  <c r="V46" i="19"/>
  <c r="P36" i="19"/>
  <c r="V36" i="19"/>
  <c r="J46" i="19"/>
  <c r="J6" i="19"/>
  <c r="J36" i="19"/>
  <c r="P26" i="19"/>
  <c r="AB26" i="19"/>
  <c r="V16" i="19"/>
  <c r="AH46" i="19"/>
  <c r="AB36" i="19"/>
  <c r="AH16" i="19"/>
  <c r="V26" i="19"/>
  <c r="P16" i="19"/>
  <c r="AH1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<sst xmlns="http://schemas.openxmlformats.org/spreadsheetml/2006/main" count="688" uniqueCount="432">
  <si>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</si>
  <si>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</si>
  <si>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</si>
  <si>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</si>
  <si>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</si>
  <si>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</si>
  <si>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</si>
  <si>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</si>
  <si>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</si>
  <si>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</si>
  <si>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</si>
  <si>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</si>
  <si>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</si>
  <si>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</si>
  <si>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</si>
  <si>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</si>
  <si>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</si>
  <si>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</si>
  <si>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</si>
  <si>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</si>
  <si>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</si>
  <si>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</si>
  <si>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</si>
  <si>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</si>
  <si>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</si>
  <si>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</si>
  <si>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</si>
  <si>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</si>
  <si>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</si>
  <si>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</si>
  <si>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</si>
  <si>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</si>
  <si>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</si>
  <si>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</si>
  <si>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</si>
  <si>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</si>
  <si>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</si>
  <si>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</si>
  <si>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</si>
  <si>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</si>
  <si>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</si>
  <si>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</si>
  <si>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</si>
  <si>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</si>
  <si>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</si>
  <si>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</si>
  <si>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</si>
  <si>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</si>
  <si>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</si>
  <si>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</si>
  <si>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</si>
  <si>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</si>
  <si>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</si>
  <si>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</si>
  <si>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</si>
  <si>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</si>
  <si>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</si>
  <si>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</si>
  <si>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</si>
  <si>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</si>
  <si>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</si>
  <si>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</si>
  <si>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</si>
  <si>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</si>
  <si>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</si>
  <si>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</si>
  <si>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</si>
  <si>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</si>
  <si>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</si>
  <si>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</si>
  <si>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</si>
  <si>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</si>
  <si>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</si>
  <si>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</si>
  <si>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</si>
  <si>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</si>
  <si>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</si>
  <si>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</si>
  <si>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</si>
  <si>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</si>
  <si>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</si>
  <si>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</si>
  <si>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</si>
  <si>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</si>
  <si>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</si>
  <si>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</si>
  <si>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</si>
  <si>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</si>
  <si>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</si>
  <si>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</si>
  <si>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</si>
  <si>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</si>
  <si>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</si>
  <si>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</si>
  <si>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</si>
  <si>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</si>
  <si>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</si>
  <si>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</si>
  <si>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</si>
  <si>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</si>
  <si>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</si>
  <si>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</si>
  <si>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</si>
  <si>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</si>
  <si>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</si>
  <si>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</si>
  <si>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</si>
  <si>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</si>
  <si>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</si>
  <si>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</si>
  <si>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</si>
  <si>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</si>
  <si>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</si>
  <si>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</si>
  <si>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</si>
  <si>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</si>
  <si>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</si>
  <si>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</si>
  <si>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</si>
  <si>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</si>
  <si>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</si>
  <si>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</si>
  <si>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</si>
  <si>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</si>
  <si>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</si>
  <si>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</si>
  <si>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</si>
  <si>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</si>
  <si>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</si>
  <si>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</si>
  <si>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</si>
  <si>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</si>
  <si>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</si>
  <si>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</si>
  <si>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</si>
  <si>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</si>
  <si>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</si>
  <si>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</si>
  <si>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</si>
  <si>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</si>
  <si>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</si>
  <si>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</si>
  <si>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</si>
  <si>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</si>
  <si>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</si>
  <si>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</si>
  <si>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</si>
  <si>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</si>
  <si>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</si>
  <si>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</si>
  <si>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</si>
  <si>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</si>
  <si>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</si>
  <si>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</si>
  <si>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</si>
  <si>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</si>
  <si>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</si>
  <si>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</si>
  <si>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</si>
  <si>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</si>
  <si>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</si>
  <si>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</si>
  <si>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</si>
  <si>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</si>
  <si>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</si>
  <si>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</si>
  <si>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</si>
  <si>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</si>
  <si>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</si>
  <si>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</si>
  <si>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</si>
  <si>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</si>
  <si>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</si>
  <si>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</si>
  <si>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</si>
  <si>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</si>
  <si>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</si>
  <si>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</si>
  <si>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</si>
  <si>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</si>
  <si>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</si>
  <si>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</si>
  <si>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</si>
  <si>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</si>
  <si>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</si>
  <si>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</si>
  <si>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</si>
  <si>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</si>
  <si>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</si>
  <si>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</si>
  <si>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</si>
  <si>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</si>
  <si>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</si>
  <si>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</si>
  <si>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</si>
  <si>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</si>
  <si>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</si>
  <si>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</si>
  <si>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</si>
  <si>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</si>
  <si>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</si>
  <si>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</si>
  <si>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</si>
  <si>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</si>
  <si>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</si>
  <si>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</si>
  <si>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</si>
  <si>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</si>
  <si>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</si>
  <si>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</si>
  <si>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</si>
  <si>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</si>
  <si>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Grupo</t>
  </si>
  <si>
    <t>Formato Mapa de Riesgos Institucional DIGSA</t>
  </si>
  <si>
    <t>MDN-COGFM-PROPLAES-DIGSA-FU.95.1-43</t>
  </si>
  <si>
    <t>ESTRATEGICO</t>
  </si>
  <si>
    <t>Grupo Planeaciòn Estrategica - Area Presupuestación - ARPRE</t>
  </si>
  <si>
    <t>Trimestral</t>
  </si>
  <si>
    <t>Área de Comunicaciones Estratégicas y Gestión del Cambio - ARCOM</t>
  </si>
  <si>
    <r>
      <rPr>
        <b/>
        <sz val="11"/>
        <color theme="9" tint="-0.249977111117893"/>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</si>
  <si>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ARCOM</t>
  </si>
  <si>
    <t>Nombre del Riesgo</t>
  </si>
  <si>
    <t>Descripciòn del Riesgo</t>
  </si>
  <si>
    <t>Grupo Planeaciòn Estrategica - Sistemas Integrados de Gestión - ARSIG</t>
  </si>
  <si>
    <t>Grupo Planeaciòn Estrategica - Desarrollo Institucional - ARDEY</t>
  </si>
  <si>
    <t>Grupo Planeaciòn Estrategica - Area Costos y Estadistica - ARCYE</t>
  </si>
  <si>
    <t>CONTROL</t>
  </si>
  <si>
    <t>Grupo Seguimiento y Evaluación  - GRSYE</t>
  </si>
  <si>
    <t>APOYO</t>
  </si>
  <si>
    <t>Grupo Asuntos Legales - GRULE</t>
  </si>
  <si>
    <t>MISIONAL</t>
  </si>
  <si>
    <t>Grupo Atención al Usuario y Participación Social - GRAPS</t>
  </si>
  <si>
    <t>Gestiòn Documental - AREDO</t>
  </si>
  <si>
    <t>Grupo Sistema Integral de Información - Tecnologias de las informacion y las comunicaciones - SISAM</t>
  </si>
  <si>
    <t>Grupo Sistema Integral de Información - Gestión de la Información - GRUGI</t>
  </si>
  <si>
    <t>Subdirección de Salud - Gestión del Riesgo - GRERI</t>
  </si>
  <si>
    <t>Subdirección de Salud  - Aseguramiento en Salud - GRUAS</t>
  </si>
  <si>
    <t>Subdirección de Salud  - Prestación y Operación de Servicios de Salud - GROSD</t>
  </si>
  <si>
    <t>Subdirección de Salud  - Salud Operacional - GRUSO</t>
  </si>
  <si>
    <t>Subdirección de Salud  - Área Supervición al contrato Interadministrativo HOMIC - ARHMC</t>
  </si>
  <si>
    <t>Subdirección de Salud  - Área Supervisión a la Interventoría de Medicamentos - ARICM</t>
  </si>
  <si>
    <t>Subdirecciòn Administrativa y Financiera - Grupo Talento Humano - GRUTH</t>
  </si>
  <si>
    <t>Subdirecciòn Administrativa y Financiera - Gestión Financiera - GRUFI</t>
  </si>
  <si>
    <t>Subdirecciòn Administrativa y Financiera - Apoyo Logistico - GRUAA</t>
  </si>
  <si>
    <t>Subdirecciòn Administrativa y Financiera - Gestión de la Afiliación - GRUGA</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</si>
  <si>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</si>
  <si>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</si>
  <si>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</si>
  <si>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</si>
  <si>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</si>
  <si>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</si>
  <si>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</si>
  <si>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</si>
  <si>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</si>
  <si>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</si>
  <si>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</si>
  <si>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</si>
  <si>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</si>
  <si>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</si>
  <si>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</si>
  <si>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</si>
  <si>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</si>
  <si>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</si>
  <si>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</si>
  <si>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</si>
  <si>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</si>
  <si>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</si>
  <si>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</si>
  <si>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</si>
  <si>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</si>
  <si>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</si>
  <si>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</si>
  <si>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</si>
  <si>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</si>
  <si>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</si>
  <si>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</si>
  <si>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</si>
  <si>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</si>
  <si>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</si>
  <si>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</si>
  <si>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ARSIG</t>
  </si>
  <si>
    <t>ARDEY</t>
  </si>
  <si>
    <t>ARPRE</t>
  </si>
  <si>
    <t>ARCYE</t>
  </si>
  <si>
    <t>GRSYE</t>
  </si>
  <si>
    <t>GRULE</t>
  </si>
  <si>
    <t>GRAPS</t>
  </si>
  <si>
    <t>AREDO</t>
  </si>
  <si>
    <t>SISAM</t>
  </si>
  <si>
    <t>GRUGI</t>
  </si>
  <si>
    <t>GRERI</t>
  </si>
  <si>
    <t>GRUAS</t>
  </si>
  <si>
    <t>GROSD</t>
  </si>
  <si>
    <t>GRUSO</t>
  </si>
  <si>
    <t>ARHMC</t>
  </si>
  <si>
    <t>ARICM</t>
  </si>
  <si>
    <t>GRUCO</t>
  </si>
  <si>
    <t>GRUTH</t>
  </si>
  <si>
    <t>GRUFI</t>
  </si>
  <si>
    <t>GRUAA</t>
  </si>
  <si>
    <t>GRUGA</t>
  </si>
  <si>
    <t>mensual</t>
  </si>
  <si>
    <t>MINISTERIO DE DEFENSA NACIONAL
COMANDO GENERAL DE LAS FUERZAS MILITARES
DIRECCIÓN GENERAL DE SANIDAD MILITAR
GRUPO DE PLANEACIÓN Y DESARROLLO INSTITUCIONAL</t>
  </si>
  <si>
    <t>Proceso Planeación Estratégica</t>
  </si>
  <si>
    <t>CONTROL DE CAMBIOS</t>
  </si>
  <si>
    <t>Versión</t>
  </si>
  <si>
    <t>Fecha de Aprobación</t>
  </si>
  <si>
    <t>Descripción de cambios</t>
  </si>
  <si>
    <t>Diciembre de 2019</t>
  </si>
  <si>
    <t>Versión vigente en la SVE, las versiones anteriores tienen trazabilidad en la SVE.</t>
  </si>
  <si>
    <t>Septiembre del 2020</t>
  </si>
  <si>
    <t>Se actualizo encabezado según lo definido por el proceso de gestión documental</t>
  </si>
  <si>
    <t>Diciembre del 2020</t>
  </si>
  <si>
    <t>Se actualizo el formato con la finalidad de especificar la etapa de Identificación y tratamiento e incluir la columan de Soporte de la actividad de control</t>
  </si>
  <si>
    <t>Octubre del 2021</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</si>
  <si>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</si>
  <si>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Septiembre del 2022</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</si>
  <si>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</si>
  <si>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</si>
  <si>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</si>
  <si>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</si>
  <si>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</si>
  <si>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TASD. Nidia Liliana Guerrero Santos 
Grupo de Planeación Estratégica DIGSA  
Área Desarrollo Institucional ARDEI</t>
  </si>
  <si>
    <t xml:space="preserve">
TASD. Nidia Liliana Guerrero Santos 
Grupo de Planeación Estratégica DIGSA  
Área Desarrollo Institucional ARDEI
Gestor de Calidad
</t>
  </si>
  <si>
    <t xml:space="preserve">
SMSM. Edna del Pilar Martínez Páez
Grupo Planeación Estratégica DIGSA 
Lider Área Sistemas Integrados de Gestión ARSIG
PD. Monica Bibiana Bustamante Rondon
Grupo Planeación Estratégica DIGSA
Área Desarrollo Institucional ARDE</t>
  </si>
  <si>
    <t xml:space="preserve">
PD. Alexandra Martínez Vargas
Coordinadora Grupo Planeación Estratégica DIGSA
Representante de la Dirección</t>
  </si>
  <si>
    <t>Instructivo de Diligenciamiento Matriz Mapa de Riesgos</t>
  </si>
  <si>
    <t>Responsable del Proceso:</t>
  </si>
  <si>
    <t>Funcionario responsable del Grupo, Proceso o Àrea</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</si>
  <si>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</si>
  <si>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</si>
  <si>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Consecuencia:</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</si>
  <si>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</si>
  <si>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</si>
  <si>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</si>
  <si>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</si>
  <si>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</si>
  <si>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</si>
  <si>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</si>
  <si>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</si>
  <si>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Fuente:  
1. Guia para la Administración del Riesgo, codigo MDN-COGFM-PROPLAES-DIGSA-GI.95.1-2 V1
2. Adaptado de Curso Riesgo Operativo Universidad del Rosario por Dirección de Gestión y Desempeño Institucional de Función Pública,  2020.</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</si>
  <si>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2"/>
        <color theme="9" tint="-0.249977111117893"/>
        <rFont val="Arial"/>
        <family val="2"/>
      </rPr>
      <t>Guía para la Administración del Riesgo y el diseño de controles V5</t>
    </r>
    <r>
      <rPr>
        <sz val="12"/>
        <rFont val="Arial"/>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</si>
  <si>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2"/>
        <color theme="9" tint="-0.249977111117893"/>
        <rFont val="Arial"/>
        <family val="2"/>
      </rPr>
      <t>Paso 2: identificación del riesgo</t>
    </r>
    <r>
      <rPr>
        <sz val="12"/>
        <rFont val="Arial"/>
        <family val="2"/>
      </rPr>
      <t xml:space="preserve">, donde se explica ampliamente las bases para adelanter este análisis.
Así mismo, considere en el </t>
    </r>
    <r>
      <rPr>
        <sz val="12"/>
        <color theme="9" tint="-0.249977111117893"/>
        <rFont val="Arial"/>
        <family val="2"/>
      </rPr>
      <t>Paso 3: valoración del riesgo</t>
    </r>
    <r>
      <rPr>
        <sz val="12"/>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2"/>
        <color theme="9" tint="-0.249977111117893"/>
        <rFont val="Arial"/>
        <family val="2"/>
      </rPr>
      <t>NOTA:</t>
    </r>
    <r>
      <rPr>
        <sz val="12"/>
        <rFont val="Arial"/>
        <family val="2"/>
      </rPr>
      <t xml:space="preserve"> Si lo considera pertinente, es posible agregar hojas de trabajo adicionales al presente formato que permitan incluir la traza de estos análisis.</t>
    </r>
  </si>
  <si>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</si>
  <si>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r>
      <t xml:space="preserve">Consolida o resume los análisis sobre impacto + causa inmediata + causa raíz, permitiendo contar con una redacción clara y concreta del riesgo indentificado. Tenga en cuenta la estructura de alto nivel establecida en al guía, inicia con </t>
    </r>
    <r>
      <rPr>
        <sz val="12"/>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</si>
  <si>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sz val="12"/>
        <color theme="9" tint="-0.249977111117893"/>
        <rFont val="Arial"/>
        <family val="2"/>
      </rPr>
      <t>Responsable de ejecutar el control + Acción + Complemento</t>
    </r>
  </si>
  <si>
    <r>
      <t>La matriz automáticamente hará el cálculo, acorde con el control o controles definidos con sus atributos analizados, lo que permitirá establecer el</t>
    </r>
    <r>
      <rPr>
        <sz val="12"/>
        <color theme="9" tint="-0.249977111117893"/>
        <rFont val="Arial"/>
        <family val="2"/>
      </rPr>
      <t xml:space="preserve"> nivel de riesgo inherente</t>
    </r>
    <r>
      <rPr>
        <sz val="12"/>
        <rFont val="Arial"/>
        <family val="2"/>
      </rPr>
      <t xml:space="preserve"> (Columnas Y- Z- AA -AB- AC).</t>
    </r>
  </si>
  <si>
    <t xml:space="preserve"> -  Hoja 3 Matriz de Calor Inherente:  En esta hoja, en la medida en que ese diligencia el Mapa Final, se verán reflejados los riesgos en su zona correspondiente. Esta hoja no se diligencia se genera de manera automática.</t>
  </si>
  <si>
    <t xml:space="preserve"> -  Hoja 4 Matriz de Calor Residual: En esta hoja, en la medida en que ese diligencia el Mapa Final, se verán reflejados los riesgos en su zona correspondiente. Esta hoja no se diligencia se genera de manera automática.</t>
  </si>
  <si>
    <t xml:space="preserve"> -  Hoja 5 Tabla de probabilidad: Tabla referente para todos los cálculos (no se diligencia)</t>
  </si>
  <si>
    <t xml:space="preserve"> -  Hoja 6 Tabla de Impacto: Tabla referente para todos los cálculos (no se diligencia)</t>
  </si>
  <si>
    <t xml:space="preserve"> -  Hoja 7 Tabla de Impacto Corrupción: Tabla referente para todos los cálculos,El impacto se debe analizar y calificar a partir de las consecuencias identificadas en la fase de descripción del riesgo.</t>
  </si>
  <si>
    <t xml:space="preserve"> -  Hoja 8 Tabla de Valoración de Controles: Tabla referente para todos los cálculos (no se diligencia)</t>
  </si>
  <si>
    <t>Seguridad de Informaciòn</t>
  </si>
  <si>
    <t>Corrupción</t>
  </si>
  <si>
    <t>R1</t>
  </si>
  <si>
    <t>R2</t>
  </si>
  <si>
    <t>R3</t>
  </si>
  <si>
    <t>R4</t>
  </si>
  <si>
    <t>R5</t>
  </si>
  <si>
    <t>R6</t>
  </si>
  <si>
    <t>R7</t>
  </si>
  <si>
    <t>R8</t>
  </si>
  <si>
    <t>R9</t>
  </si>
  <si>
    <t>R10</t>
  </si>
  <si>
    <t>R11</t>
  </si>
  <si>
    <t>R12</t>
  </si>
  <si>
    <t>R13</t>
  </si>
  <si>
    <t>R14</t>
  </si>
  <si>
    <t>R15</t>
  </si>
  <si>
    <t>R16</t>
  </si>
  <si>
    <t>Subdirección Administrativa y Financiera - Grupo Contratación - GRUCO</t>
  </si>
  <si>
    <t>Plan de Contingencia</t>
  </si>
  <si>
    <t>debido a fallas en la infraestructura tecnológica, de comunicaciones y sistemas de información.</t>
  </si>
  <si>
    <t xml:space="preserve">por perdida de la integridad y disponibilidad de la información </t>
  </si>
  <si>
    <t xml:space="preserve">Mantenimiento insuficiente
Ausencia de esquemas de reemplazo periódico
Almacenamiento sin protección
Interfaz de usuario compleja
Ausencia de documentación
Ausencia de acuerdos de nivel de servicio (ANS o SLA)
Software nuevo o inmaduro
</t>
  </si>
  <si>
    <t>Fallas del equipo
Mal funcionamiento del equipo
Saturación del sistema de información
Mal funcionamiento del software
Incumplimiento en el mantenimiento del sistema de información.
Perdida de suministro de energía</t>
  </si>
  <si>
    <t xml:space="preserve">Interrupción de la infraestructura tecnológica y de sistema de información, y redes de comunicaciones, por falta de mantenimientos, controles, y gestión para la continuidad del negocio. </t>
  </si>
  <si>
    <t>Daños a activos de información debido a accesos no autorizados de usuarios, y definición de perfiles en los sistemas de información y equipos tecnológicos. .</t>
  </si>
  <si>
    <t>Amenazas</t>
  </si>
  <si>
    <t>Vulnerabilidades</t>
  </si>
  <si>
    <t>debido eliminación de información reservada o Publica pérdida, hurto, fuga, destrucción y/o desviación de información, por accesos no autorizados de usuarios debido a la inadecuada gestión de permisos de acceso a los sistemas de información.</t>
  </si>
  <si>
    <t xml:space="preserve">por perdida de la integridad confidencialidad de la información </t>
  </si>
  <si>
    <t>Uso no autorizado del equipo
Corrupción de los datos 
Procesamiento ilegal de datos
Falsificación de derecho</t>
  </si>
  <si>
    <t xml:space="preserve">
Falta de conciencia en seguridad
Ausencia de políticas de uso aceptable
Ausencia de procedimiento de registro/retiro de usuarios
Ausencia de proceso para supervisión de derechos de acceso
Ausencia de control de los activos que se encuentran fuera de las 
instalaciones
Ausencia de mecanismos de monitoreo para brechas en la seguridad
Ausencia de procedimientos y/o de políticas en general (esto aplica para 
muchas actividades que la entidad no tenga documentadas y 
formalizadas como uso aceptable de activos, control de cambios, 
valoración de riesgos, escritorio y pantalla limpia entre otros)
Copia no controlada
Ausencia de mecanismos de identificación y autenticación de usuarios
Contraseñas sin protección
Ausencia o insuficiencia de pruebas de software
Ausencia de terminación de sesión
Ausencia de registros de auditoría
Asignación errada de los derechos de acceso</t>
  </si>
  <si>
    <t>El responable de asignación de usuarios de acceso a equipos, correo electronico) realiza  creacion y/o inactivacion de los usuarios de acuerdo al formato de solicitud activacion - inactivacion de usuarios DIGSA, teniendo en cuenta los requerimientos de los funcionarios autorizados por los coordinadores y/o  lideres de area, el cual es verficado y autorizado por el Coordinador del Grupo SISAM.</t>
  </si>
  <si>
    <t xml:space="preserve">
Daños a activos de información por ataques cibernéticos a los sistemas de información, infraestructura, pagina web, equipos de comunicaciones y firewall."</t>
  </si>
  <si>
    <t xml:space="preserve">por a la eliminación, hurto o fuga de información pública o reservada debido a ataques cibernéticos. </t>
  </si>
  <si>
    <t>por perdida de la integridad, disponibilidad y confidencialidad de la información</t>
  </si>
  <si>
    <t>Posibilidad de Afectación Económica y Reputacional por perdida de la integridad, disponibilidad de la información por perdida de activos de información debido a desastres o eventos fortuitos.</t>
  </si>
  <si>
    <t>Daños a activos de información por eventos o desastres por fenómenos meteorológicos, inundaciones, sísmicos.</t>
  </si>
  <si>
    <t>por perdida de activos de información debido a desastres o eventos fortuitos.</t>
  </si>
  <si>
    <t>por perdida de la integridad, disponibilidad de la información</t>
  </si>
  <si>
    <t>Fallas en la interconexión de la infraestructura tecnológica por el accesos de usuarios a los servidores, infraestructura tecnológica  sin los perfiles técnicos para la administración y gestión.</t>
  </si>
  <si>
    <t>por uso y administración no autorizada de servidores y equipos de comunicación debido a la inadecuada gestión de roles para la administración y gestión de la infraestructura tecnológica</t>
  </si>
  <si>
    <t>por perdida de la disponibilidad de la información</t>
  </si>
  <si>
    <t>El responsable de servidores realiza mensualmente la generación de un reporte con la herramienta LIVE OPTICS que permite conocer la capacidad de hardware del DATACENTER, con el fin de detectar saturación en los servicios y/o capacidad de recursos.</t>
  </si>
  <si>
    <r>
      <t xml:space="preserve">El responsable de FIREWALL realiza diariamente validaciones de vulnerabilidad en la red, realizando análisis, bloqueos, seguimiento, con el fin de prevenir ataque a la infraestructura tecnológica, frente a las acciones identificadas se realiza bloqueo a PUERTOS, URLS, DIRECCIONES IP. </t>
    </r>
    <r>
      <rPr>
        <b/>
        <sz val="12"/>
        <color theme="1"/>
        <rFont val="Arial"/>
        <family val="2"/>
      </rPr>
      <t>Se genera un reporte mensualmente y se presenta al Coordinador del grupo de trabajo.</t>
    </r>
  </si>
  <si>
    <t>Coordinadora Grupo Sistema Integral de Infomración - Tecnologica de la Informraciòn y la comunicaciones SISAM</t>
  </si>
  <si>
    <t>13/04/2023
07/07/2023
09/10/2023
10/01/2024</t>
  </si>
  <si>
    <t>En Curso</t>
  </si>
  <si>
    <t xml:space="preserve">Posibilidad de Afectación Económica y Reputacional por perdida de la integridad, disponibilidad y confidencialidad de la información por  la eliminación, hurto o fuga de información pública o reservada debido a ataques cibernéticos. </t>
  </si>
  <si>
    <r>
      <t>El responsable de activacion de usuarios para el ingreso de Datacenter y cuartos electricos mediante la aplicación Bio star 2, siguiendo la debida autorizacion de la coordinacion de SISAM.</t>
    </r>
    <r>
      <rPr>
        <b/>
        <sz val="12"/>
        <color theme="1"/>
        <rFont val="Arial"/>
        <family val="2"/>
      </rPr>
      <t xml:space="preserve">  se genera un reporte de las novedades  mensualmente y se presenta al Coordinador del grupo de trabajo.</t>
    </r>
    <r>
      <rPr>
        <sz val="12"/>
        <color theme="1"/>
        <rFont val="Arial"/>
        <family val="2"/>
      </rPr>
      <t xml:space="preserve"> </t>
    </r>
  </si>
  <si>
    <r>
      <t>El responable de asignación de usuarios de acceso a kactus - Onbase realiza  creacion y/o inactivacion de los usuarios de acuerdo  tiket autorizado por el coordinador de talento humano se tienen en cuenta los roles y perfiles solicitados.</t>
    </r>
    <r>
      <rPr>
        <b/>
        <sz val="12"/>
        <color theme="1"/>
        <rFont val="Arial"/>
        <family val="2"/>
      </rPr>
      <t>Se genera un reporte mensualmente y se presenta al Coordinador del grupo de trabajo.</t>
    </r>
  </si>
  <si>
    <r>
      <t xml:space="preserve">
Contratación de servicios tecnológicos para el análisis de la infraestructura tecnológica de la DIGSA, que genera un informe sobre estado actual y las acciones a nivel hardware y software a realizar. 
Se elabora el plan de continuidad de acuerdo a los resultados dentro de la contracción, el responsable de servidores consolidara las necesidades técnicas y requerimientos a nivel de hardware y software para garantiza la infraestructura 24/7
El responsable de firewall, mediante la herramienta CORTEX  XDR (Solución de Seguridad) identifica y controla los malware, realiza análisis de la máquina,  reporta alertas, realiza bloqueo de virus, esta actividad se realiza 7/24. La periodicidad está dada de acuerdo al tiempo en línea de las maquinas.
El responsable de Seguridad de Información, revisara los controles de acceso implementados e implementara aquellos para el fortalecimiento de la mitigación del riesgos, esta actividad se proyecta para el primer semestre del 2023, de acuerdo a los siguiente controles:
</t>
    </r>
    <r>
      <rPr>
        <b/>
        <sz val="12"/>
        <color theme="1"/>
        <rFont val="Arial"/>
        <family val="2"/>
      </rPr>
      <t xml:space="preserve">Gestión de las vulnerabilidades técnicas: </t>
    </r>
    <r>
      <rPr>
        <sz val="12"/>
        <color theme="1"/>
        <rFont val="Arial"/>
        <family val="2"/>
      </rPr>
      <t xml:space="preserve">Control: Se debería obtener oportunamente información acerca de las vulnerabilidades técnicas de los sistemas de información que se usen; evaluar la exposición de la organización a estas vulnerabilidades, y tomar las medidas apropiadas para tratar el riesgo asociado.
</t>
    </r>
    <r>
      <rPr>
        <b/>
        <sz val="12"/>
        <color theme="1"/>
        <rFont val="Arial"/>
        <family val="2"/>
      </rPr>
      <t>Controles de redes: Control:</t>
    </r>
    <r>
      <rPr>
        <sz val="12"/>
        <color theme="1"/>
        <rFont val="Arial"/>
        <family val="2"/>
      </rPr>
      <t xml:space="preserve"> Las redes se deberían gestionar y controlar para proteger la información en sistemas y aplicaciones.
</t>
    </r>
    <r>
      <rPr>
        <b/>
        <sz val="12"/>
        <color theme="1"/>
        <rFont val="Arial"/>
        <family val="2"/>
      </rPr>
      <t>Seguridad de los servicios de red: Control:</t>
    </r>
    <r>
      <rPr>
        <sz val="12"/>
        <color theme="1"/>
        <rFont val="Arial"/>
        <family val="2"/>
      </rPr>
      <t xml:space="preserve"> Se deberían identificar los mecanismos de seguridad, los niveles de servicio y los requisitos de gestión de todos los servicios de red, e incluirlos en los acuerdos de servicios de red, ya sea que los servicios se presten internamente o se contraten externamente.
</t>
    </r>
    <r>
      <rPr>
        <b/>
        <sz val="12"/>
        <color theme="1"/>
        <rFont val="Arial"/>
        <family val="2"/>
      </rPr>
      <t>Políticas y procedimientos de transferencia de información:</t>
    </r>
    <r>
      <rPr>
        <sz val="12"/>
        <color theme="1"/>
        <rFont val="Arial"/>
        <family val="2"/>
      </rPr>
      <t xml:space="preserve"> Control: Se debería contar con políticas, procedimientos y controles de transferencia formales para proteger la transferencia de información mediante el uso de todo tipo de instalaciones de comunicación.
</t>
    </r>
    <r>
      <rPr>
        <b/>
        <sz val="12"/>
        <color theme="1"/>
        <rFont val="Arial"/>
        <family val="2"/>
      </rPr>
      <t>Gestión de capacidad:Control:</t>
    </r>
    <r>
      <rPr>
        <sz val="12"/>
        <color theme="1"/>
        <rFont val="Arial"/>
        <family val="2"/>
      </rPr>
      <t xml:space="preserve"> Para asegurar el desempeño requerido del sistema se debería hacer seguimiento al uso de los recursos, hacer los ajustes, y hacer proyecciones de los requisitos sobre la capacidad futura.
</t>
    </r>
    <r>
      <rPr>
        <b/>
        <sz val="12"/>
        <color theme="1"/>
        <rFont val="Arial"/>
        <family val="2"/>
      </rPr>
      <t>Cadena de suministro de tecnología de información y comunicación: Control:</t>
    </r>
    <r>
      <rPr>
        <sz val="12"/>
        <color theme="1"/>
        <rFont val="Arial"/>
        <family val="2"/>
      </rPr>
      <t xml:space="preserve"> Los acuerdos con proveedores deberían incluir requisitos para tratar los riesgos de seguridad de la información asociados con la cadena de suministro de productos y servicios de tecnología de información y comunicación.
</t>
    </r>
  </si>
  <si>
    <r>
      <rPr>
        <b/>
        <sz val="12"/>
        <color theme="1"/>
        <rFont val="Arial"/>
        <family val="2"/>
      </rPr>
      <t>El responsable de Seguridad de Información, revisara los controles de acceso implementados e implementara aquellos para el fortalecimiento de la mitigación del riesgos, esta actividad se proyecta para el primer semestre del 2023, de acuerdo a los siguiente controles:
Controles contra códigos maliciosos: Control:</t>
    </r>
    <r>
      <rPr>
        <sz val="12"/>
        <color theme="1"/>
        <rFont val="Arial"/>
        <family val="2"/>
      </rPr>
      <t xml:space="preserve"> Se deberían implementar controles de detección, deprevención y de recuperación, combinados con la toma de conciencia apropiada de los usuarios, para proteger contra códigos maliciosos.
</t>
    </r>
    <r>
      <rPr>
        <b/>
        <sz val="12"/>
        <color theme="1"/>
        <rFont val="Arial"/>
        <family val="2"/>
      </rPr>
      <t>Teletrabajo: Control:</t>
    </r>
    <r>
      <rPr>
        <sz val="12"/>
        <color theme="1"/>
        <rFont val="Arial"/>
        <family val="2"/>
      </rPr>
      <t xml:space="preserve"> Se deberían implementar una política y unas medidas de seguridad de soporte, para proteger la información a la que se tiene acceso, que es procesada o almacenada en los lugares en los que se
realiza teletrabajo.
</t>
    </r>
    <r>
      <rPr>
        <b/>
        <sz val="12"/>
        <color theme="1"/>
        <rFont val="Arial"/>
        <family val="2"/>
      </rPr>
      <t>Política sobre el uso de controles criptográficos:</t>
    </r>
    <r>
      <rPr>
        <sz val="12"/>
        <color theme="1"/>
        <rFont val="Arial"/>
        <family val="2"/>
      </rPr>
      <t xml:space="preserve"> Control: Se debería desarrollar e implementar una política sobre el uso de controles criptográficos para la protección de la información.
</t>
    </r>
    <r>
      <rPr>
        <b/>
        <sz val="12"/>
        <color theme="1"/>
        <rFont val="Arial"/>
        <family val="2"/>
      </rPr>
      <t>Seguridad del cableado: Control:</t>
    </r>
    <r>
      <rPr>
        <sz val="12"/>
        <color theme="1"/>
        <rFont val="Arial"/>
        <family val="2"/>
      </rPr>
      <t xml:space="preserve"> El cableado de potencia y de telecomunicaciones que porta datos o soporta servicios de información debería estar protegido contra interceptación, interferencia o daño.
</t>
    </r>
    <r>
      <rPr>
        <b/>
        <sz val="12"/>
        <color theme="1"/>
        <rFont val="Arial"/>
        <family val="2"/>
      </rPr>
      <t>Seguridad de equipos y activos fuera de las instalaciones:</t>
    </r>
    <r>
      <rPr>
        <sz val="12"/>
        <color theme="1"/>
        <rFont val="Arial"/>
        <family val="2"/>
      </rPr>
      <t xml:space="preserve"> Control: Se deberían aplicar medidas de seguridad a los activos que se encuentran fuera de las instalaciones de la organización, teniendo en cuenta los diferentes riesgos de trabajar fuera de dichas instalaciones.
</t>
    </r>
    <r>
      <rPr>
        <b/>
        <sz val="12"/>
        <color theme="1"/>
        <rFont val="Arial"/>
        <family val="2"/>
      </rPr>
      <t xml:space="preserve">Protección de registros: Control: </t>
    </r>
    <r>
      <rPr>
        <sz val="12"/>
        <color theme="1"/>
        <rFont val="Arial"/>
        <family val="2"/>
      </rPr>
      <t>Los registros se deberían proteger contra perdida, destrucción, falsificación, acceso no autorizado y liberación no autorizada, de acuerdo con los requisitos legislativos, de reglamentación, contractuales y de negocio.</t>
    </r>
  </si>
  <si>
    <r>
      <t>El responsable de Seguridad de Información, revisara los controles de acceso implementados e implementara aquellos para el fortalecimiento de la mitigación del riesgos, esta actividad se proyecta para el primer semestre del 2023, de acuerdo al siguiente control:</t>
    </r>
    <r>
      <rPr>
        <b/>
        <sz val="12"/>
        <color theme="1"/>
        <rFont val="Arial"/>
        <family val="2"/>
      </rPr>
      <t xml:space="preserve">
Perímetro de seguridad física: Control:</t>
    </r>
    <r>
      <rPr>
        <sz val="12"/>
        <color theme="1"/>
        <rFont val="Arial"/>
        <family val="2"/>
      </rPr>
      <t xml:space="preserve"> Se deberían definir y usar perímetros de seguridad, y usarlos para proteger áreas que contengan información sensible o critica, e instalaciones de manejo de información.
</t>
    </r>
    <r>
      <rPr>
        <b/>
        <sz val="12"/>
        <color theme="1"/>
        <rFont val="Arial"/>
        <family val="2"/>
      </rPr>
      <t xml:space="preserve">
Controles físicos de entrada: Control:</t>
    </r>
    <r>
      <rPr>
        <sz val="12"/>
        <color theme="1"/>
        <rFont val="Arial"/>
        <family val="2"/>
      </rPr>
      <t xml:space="preserve"> Las áreas seguras se deberían proteger mediante controles de entrada apropiados para asegurar que solamente se permite el acceso a personal autorizado.
</t>
    </r>
    <r>
      <rPr>
        <b/>
        <sz val="12"/>
        <color theme="1"/>
        <rFont val="Arial"/>
        <family val="2"/>
      </rPr>
      <t xml:space="preserve">Política de control de acceso: Control: </t>
    </r>
    <r>
      <rPr>
        <sz val="12"/>
        <color theme="1"/>
        <rFont val="Arial"/>
        <family val="2"/>
      </rPr>
      <t>Se debería establecer, documentar y revisar una política de control de acceso con base en los requisitos del negocio y de seguridad de la información</t>
    </r>
    <r>
      <rPr>
        <b/>
        <sz val="12"/>
        <color theme="1"/>
        <rFont val="Arial"/>
        <family val="2"/>
      </rPr>
      <t>.</t>
    </r>
    <r>
      <rPr>
        <sz val="12"/>
        <color theme="1"/>
        <rFont val="Arial"/>
        <family val="2"/>
      </rPr>
      <t xml:space="preserve">
</t>
    </r>
    <r>
      <rPr>
        <b/>
        <sz val="12"/>
        <color theme="1"/>
        <rFont val="Arial"/>
        <family val="2"/>
      </rPr>
      <t>Sistema de gestión de contraseñ</t>
    </r>
    <r>
      <rPr>
        <sz val="12"/>
        <color theme="1"/>
        <rFont val="Arial"/>
        <family val="2"/>
      </rPr>
      <t xml:space="preserve">as: Control: Los sistemas de gestión de contraseñas deberían ser interactivos y deberían asegurar la calidad de las contraseñas.
</t>
    </r>
    <r>
      <rPr>
        <b/>
        <sz val="12"/>
        <color theme="1"/>
        <rFont val="Arial"/>
        <family val="2"/>
      </rPr>
      <t>Ubicación y protección de los equipos: Control:</t>
    </r>
    <r>
      <rPr>
        <sz val="12"/>
        <color theme="1"/>
        <rFont val="Arial"/>
        <family val="2"/>
      </rPr>
      <t xml:space="preserve"> Los equipos deberían estar ubicados y protegidos para reducir los riesgos de amenazas y peligros del entorno, y las oportunidades para acceso no autorizado.
</t>
    </r>
    <r>
      <rPr>
        <b/>
        <sz val="12"/>
        <color theme="1"/>
        <rFont val="Arial"/>
        <family val="2"/>
      </rPr>
      <t>Registros del administrador y del operador: Control:</t>
    </r>
    <r>
      <rPr>
        <sz val="12"/>
        <color theme="1"/>
        <rFont val="Arial"/>
        <family val="2"/>
      </rPr>
      <t xml:space="preserve"> Las actividades del administrador y del operador del sistema se deberían registrar, y los registros se deberían proteger y revisar con regularidad.</t>
    </r>
  </si>
  <si>
    <r>
      <t xml:space="preserve">El responsable de Seguridad de Información, revisara los controles de acceso implementados e implementara aquellos para el fortalecimiento de la mitigación del riesgos, esta actividad se proyecta para el primer semestre del 2023, de acuerdo al siguiente control:
</t>
    </r>
    <r>
      <rPr>
        <b/>
        <sz val="12"/>
        <color theme="1"/>
        <rFont val="Arial"/>
        <family val="2"/>
      </rPr>
      <t>Respaldo de información: Control:</t>
    </r>
    <r>
      <rPr>
        <sz val="12"/>
        <color theme="1"/>
        <rFont val="Arial"/>
        <family val="2"/>
      </rPr>
      <t xml:space="preserve"> Se deberían hacer copias de respaldo de la información, del software e imágenes de los sistemas, y ponerlas a prueba regularmente de acuerdo con una política de copias de respaldo
aceptada.
</t>
    </r>
    <r>
      <rPr>
        <b/>
        <sz val="12"/>
        <color theme="1"/>
        <rFont val="Arial"/>
        <family val="2"/>
      </rPr>
      <t>Gestión de las vulnerabilidades técnicas: Control:</t>
    </r>
    <r>
      <rPr>
        <sz val="12"/>
        <color theme="1"/>
        <rFont val="Arial"/>
        <family val="2"/>
      </rPr>
      <t xml:space="preserve"> Se debería obtener oportunamente información acerca de las vulnerabilidades técnicas de los sistemas de información que se usen; evaluar la exposición de la organización a estas vulnerabilidades, y tomar las medidas apropiadas para tratar el riesgo asociado.
</t>
    </r>
    <r>
      <rPr>
        <b/>
        <sz val="12"/>
        <color theme="1"/>
        <rFont val="Arial"/>
        <family val="2"/>
      </rPr>
      <t>Mensajería electrónica: Control:</t>
    </r>
    <r>
      <rPr>
        <sz val="12"/>
        <color theme="1"/>
        <rFont val="Arial"/>
        <family val="2"/>
      </rPr>
      <t xml:space="preserve"> Se debería proteger adecuadamente la información incluida en la mensajería electrónica.
</t>
    </r>
  </si>
  <si>
    <r>
      <rPr>
        <b/>
        <sz val="12"/>
        <color theme="1"/>
        <rFont val="Arial"/>
        <family val="2"/>
      </rPr>
      <t>El responsable de Seguridad de Información, revisara los controles de acceso implementados e implementara aquellos para el fortalecimiento de la mitigación del riesgos, esta actividad se proyecta para el primer semestre del 2023, de acuerdo a los siguiente controles:
Política de control de acceso:</t>
    </r>
    <r>
      <rPr>
        <sz val="12"/>
        <color theme="1"/>
        <rFont val="Arial"/>
        <family val="2"/>
      </rPr>
      <t xml:space="preserve"> Control: Se debería establecer, documentar y revisar una política de control de acceso con base en los requisitos del negocio y de seguridad de la información.
</t>
    </r>
    <r>
      <rPr>
        <b/>
        <sz val="12"/>
        <color theme="1"/>
        <rFont val="Arial"/>
        <family val="2"/>
      </rPr>
      <t>Política sobre el uso de los servicios de red: Contro</t>
    </r>
    <r>
      <rPr>
        <sz val="12"/>
        <color theme="1"/>
        <rFont val="Arial"/>
        <family val="2"/>
      </rPr>
      <t xml:space="preserve">l: Solo se debería permitir acceso de los usuarios a la red y a los servicios de red para los que hayan sido autorizados específicamente.
</t>
    </r>
    <r>
      <rPr>
        <b/>
        <sz val="12"/>
        <color theme="1"/>
        <rFont val="Arial"/>
        <family val="2"/>
      </rPr>
      <t>Registro y cancelación del registro de usuarios: Control:</t>
    </r>
    <r>
      <rPr>
        <sz val="12"/>
        <color theme="1"/>
        <rFont val="Arial"/>
        <family val="2"/>
      </rPr>
      <t xml:space="preserve"> Se debería implementar un proceso formal de registro y de cancelación de registro de usuarios, para posibilitar la asignación de los derechos de acceso.
</t>
    </r>
    <r>
      <rPr>
        <b/>
        <sz val="12"/>
        <color theme="1"/>
        <rFont val="Arial"/>
        <family val="2"/>
      </rPr>
      <t>Suministro de acceso de usuarios:</t>
    </r>
    <r>
      <rPr>
        <sz val="12"/>
        <color theme="1"/>
        <rFont val="Arial"/>
        <family val="2"/>
      </rPr>
      <t xml:space="preserve"> Control: Se debería implementar un proceso de suministro de acceso formal de usuarios para asignar o revocar los derechos de acceso a todo tipo de usuarios para todos los sistemas y servicios. 
</t>
    </r>
    <r>
      <rPr>
        <b/>
        <sz val="12"/>
        <color theme="1"/>
        <rFont val="Arial"/>
        <family val="2"/>
      </rPr>
      <t>Gestión de información de autenticación secreta de usuarios: Control:</t>
    </r>
    <r>
      <rPr>
        <sz val="12"/>
        <color theme="1"/>
        <rFont val="Arial"/>
        <family val="2"/>
      </rPr>
      <t xml:space="preserve"> La asignación de la información secreta se debería controlar por medio de un proceso de gestión formal.   
</t>
    </r>
    <r>
      <rPr>
        <b/>
        <sz val="12"/>
        <color theme="1"/>
        <rFont val="Arial"/>
        <family val="2"/>
      </rPr>
      <t>Retiro o ajuste de los derechos de acceso: Control:</t>
    </r>
    <r>
      <rPr>
        <sz val="12"/>
        <color theme="1"/>
        <rFont val="Arial"/>
        <family val="2"/>
      </rPr>
      <t xml:space="preserve"> Los derechos de acceso de todos los empleados y de usuarios externos a la información y a las instalaciones de procesamiento de información se deberían retirar al terminar su empleo, contrato o acuerdo, o se deberían ajustar cuando se hagan cambios.
</t>
    </r>
    <r>
      <rPr>
        <b/>
        <sz val="12"/>
        <color theme="1"/>
        <rFont val="Arial"/>
        <family val="2"/>
      </rPr>
      <t>Acuerdos de confidencialidad o de no divulgación: Control:</t>
    </r>
    <r>
      <rPr>
        <sz val="12"/>
        <color theme="1"/>
        <rFont val="Arial"/>
        <family val="2"/>
      </rPr>
      <t xml:space="preserve"> Se deberían identificar, revisar regularmente y documentar los requisitos para los acuerdos de confidencialidad o no divulgación que reflejen las necesidades de la organización para la protección de la información.
</t>
    </r>
  </si>
  <si>
    <t>El responsable de copias de seguridad de servidores realiza periodicamente las copias de respaldo de acuerdo al procedimeineto establecido y los planes de mantenimiento implementados en los manejadore de base de datos</t>
  </si>
  <si>
    <r>
      <t xml:space="preserve">El responsable de copias de seguridad realiza semestramental capacitación de copias de seguridad a los procesos y verifica mendiante seguimiento el cumpliento de los archivos generados, realizando pruebas de verficación de integridad de los datos. </t>
    </r>
    <r>
      <rPr>
        <b/>
        <sz val="12"/>
        <color theme="1"/>
        <rFont val="Arial"/>
        <family val="2"/>
      </rPr>
      <t>Soporte Corte: El informe de capacitaciòn y/o informe seguimiento cumplimiento copias se seguridad.</t>
    </r>
  </si>
  <si>
    <t xml:space="preserve">El responsable  autorizado Diligencia la bitacora de ingreso al datacenter con las actividades realizadas, fecha, hora de entrada y de salida , firma y nombre del la persona de quien lo acompaña si aplica.
</t>
  </si>
  <si>
    <t>PROCESO</t>
  </si>
  <si>
    <t>Registre el nombre de su proceso y Área/Grupo de acuerdo con el ejemplo.  No cambie tipo de letra ni tamaño
Administración Sistema Integrado de Gestión PROASIG – Área Sistemas Integrados de Gestión ARSIG. (ejemplo)</t>
  </si>
  <si>
    <t>Formato</t>
  </si>
  <si>
    <t>El gestor de calidad debe codificar este formato e incluirlo en el módulo de documentos de la SVE para aprobación por PROASIG y subirlo en formato editable a la SVE, conservándolo en pdf firmado en la carpeta de procesos para su consulta.</t>
  </si>
  <si>
    <t>Vigente</t>
  </si>
  <si>
    <t>Fecha en la que se libera el documento</t>
  </si>
  <si>
    <t>Código</t>
  </si>
  <si>
    <t>Matriz de Riesgos  Grupo Sistema Integral de Información - Tecnologias de las informacion y las comunicaciones - SISAM</t>
  </si>
  <si>
    <t xml:space="preserve">Pérdidas de información.
Incumplimientos y consecuencias legales.
Accesos no autorizados a información confidencial o a las instalaciones.
Robo de datos, información o incluso equipos.
Daños en la reputación de la organización.
Pérdidas económicas causadas por paralizaciones de la actividad, reclamaciones legales o reparación de daños.
Causas:
Fallas en los equipos de seguridad 
Falta de Políticas y lineamientos
</t>
  </si>
  <si>
    <t>Uso de software falso o copiado
Tráfico sensible sin protección
Consecuencias:
Daño de activos de información
Afectación prestación de Servicios
Perdida de la integridad y confidencialidad de la información</t>
  </si>
  <si>
    <t>El responsable de Antivirus  se realiza diariamente validaciones de bloqueos de amenazas presentadas    mendiante la herramienta  de solucion de seguridad CORTEX  XDR, en equipos de los funcionarios y los servidores de la DIGSA.</t>
  </si>
  <si>
    <t>El responsable de base de datos implementa plan de copias de seguridad de ONBASE y KACTUS, las cuales se realizan de maneja diaria y automática a las 12:00 de la noche, se almacenan en los mismos servidores de base de datos. Se tiene programado una tarea diaria en el servidor para realizar copia de los archivos Backup al equipo cliente 172.17.4.27, las pruebas de restauración se realizan de manera aleatoria en el servidor de base de datos establecidos para pruebas. De igual manera la copia de seguridad se mantiene durante una semana y se inicia el proceso nuevamente. Al corte de trimestre evaluado se tiene verificación de la copia de seguridad como respaldo frente a la posible materialización del riesgo.</t>
  </si>
  <si>
    <t>Fenómenos climáticos
Fenómenos sísmicos
Fenómenos meteorológicos
Inundación</t>
  </si>
  <si>
    <t xml:space="preserve">
Áreas susceptibles a inundación
Red energética inestable
Probabilida de eventos sismicos
Consecuencias:
Perdida de la integridad, disponibilidad de la información</t>
  </si>
  <si>
    <t>Perdida de información
Daño de equipos de comunicaciones y sistema de información
Causas
Ausencia del personal
Entrenamiento insuficiente</t>
  </si>
  <si>
    <t>Falta de politicas de control de acceso
Control de seguridad fisica
Consecuencias
Interrupción de los Sistemas de Información e infraestructura tecnológica.</t>
  </si>
  <si>
    <t>Posibilidad de Afectación Económica y Reputacional por perdida de la disponibilidad de la información por uso y administración no autorizada de servidores y equipos de comunicación debido a la inadecuada gestión de roles para la administración y gestión de la infraestructura tecnológica.</t>
  </si>
  <si>
    <t xml:space="preserve">Posibilidad de Afectación Económica y Reputacional por perdida de la integridad y disponibilidad de la información  debido a fallas en la infraestructura tecnológica, de comunicaciones y sistemas de información.
</t>
  </si>
  <si>
    <t xml:space="preserve">Posibilidad de Afectación Económica y Reputacional por perdida de la integridad confidencialidad de la información  debido eliminación de información reservada o Publica pérdida, hurto, fuga, destrucción y/o desviación de información, por accesos no autorizados de usuarios debido a la inadecuada gestión de permisos de acceso a los sistemas de información.
</t>
  </si>
  <si>
    <t>Mapa Riesgos Dirección General de Sanidad Militar Seguridad y Privacidad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</si>
</sst>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4"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name val="Arial"/>
      <family val="2"/>
    </font>
    <font>
      <sz val="11"/>
      <color theme="1"/>
      <name val="Arial"/>
      <family val="2"/>
    </font>
    <font>
      <sz val="22"/>
      <color theme="1"/>
      <name val="Arial"/>
      <family val="2"/>
    </font>
    <font>
      <sz val="10"/>
      <color theme="1"/>
      <name val="Arial"/>
      <family val="2"/>
    </font>
    <font>
      <b/>
      <sz val="11"/>
      <color theme="9" tint="-0.249977111117893"/>
      <name val="Arial"/>
      <family val="2"/>
    </font>
    <font>
      <sz val="8"/>
      <color theme="1"/>
      <name val="Arial"/>
      <family val="2"/>
    </font>
    <font>
      <sz val="9"/>
      <color theme="1"/>
      <name val="Arial"/>
      <family val="2"/>
    </font>
    <font>
      <sz val="9"/>
      <color rgb="FFFFFFFF"/>
      <name val="Arial"/>
      <family val="2"/>
    </font>
    <font>
      <sz val="9"/>
      <color rgb="FF000000"/>
      <name val="Arial"/>
      <family val="2"/>
    </font>
    <font>
      <b/>
      <sz val="12"/>
      <color theme="1"/>
      <name val="Arial"/>
      <family val="2"/>
    </font>
    <font>
      <sz val="8"/>
      <name val="Arial"/>
      <family val="2"/>
    </font>
    <font>
      <sz val="9"/>
      <name val="Arial"/>
      <family val="2"/>
    </font>
    <font>
      <sz val="11"/>
      <color rgb="FF0070C0"/>
      <name val="Arial"/>
      <family val="2"/>
    </font>
    <font>
      <sz val="12"/>
      <color theme="1"/>
      <name val="Arial"/>
      <family val="2"/>
    </font>
    <font>
      <sz val="12"/>
      <name val="Arial"/>
      <family val="2"/>
    </font>
    <font>
      <sz val="12"/>
      <color theme="9" tint="-0.249977111117893"/>
      <name val="Arial"/>
      <family val="2"/>
    </font>
    <font>
      <u/>
      <sz val="12"/>
      <name val="Arial"/>
      <family val="2"/>
    </font>
    <font>
      <sz val="16"/>
      <name val="Arial"/>
      <family val="2"/>
    </font>
    <font>
      <sz val="11"/>
      <color rgb="FFFF0000"/>
      <name val="Arial"/>
      <family val="2"/>
    </font>
  </fonts>
  <fills count="19">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F5496"/>
        <bgColor indexed="64"/>
      </patternFill>
    </fill>
    <fill>
      <patternFill patternType="solid">
        <fgColor theme="3"/>
        <bgColor indexed="64"/>
      </patternFill>
    </fill>
    <fill>
      <patternFill patternType="solid">
        <fgColor theme="9" tint="-0.249977111117893"/>
        <bgColor indexed="64"/>
      </patternFill>
    </fill>
    <fill>
      <patternFill patternType="solid">
        <fgColor theme="4" tint="0.39997558519241921"/>
        <bgColor indexed="64"/>
      </patternFill>
    </fill>
  </fills>
  <borders count="108">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thin">
        <color auto="1"/>
      </left>
      <right/>
      <top/>
      <bottom style="thin">
        <color auto="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style="dashed">
        <color theme="1"/>
      </right>
      <top/>
      <bottom style="dashed">
        <color theme="1"/>
      </bottom>
      <diagonal/>
    </border>
    <border>
      <left style="dashed">
        <color theme="1"/>
      </left>
      <right style="dashed">
        <color theme="1"/>
      </right>
      <top/>
      <bottom/>
      <diagonal/>
    </border>
    <border>
      <left/>
      <right style="medium">
        <color rgb="FF00B0F0"/>
      </right>
      <top/>
      <bottom style="medium">
        <color rgb="FF00B0F0"/>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style="medium">
        <color indexed="64"/>
      </left>
      <right style="medium">
        <color indexed="64"/>
      </right>
      <top/>
      <bottom style="medium">
        <color indexed="64"/>
      </bottom>
      <diagonal/>
    </border>
    <border>
      <left/>
      <right style="medium">
        <color rgb="FF00B0F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ashed">
        <color theme="1"/>
      </left>
      <right/>
      <top style="dashed">
        <color theme="1"/>
      </top>
      <bottom/>
      <diagonal/>
    </border>
    <border>
      <left style="dashed">
        <color theme="1"/>
      </left>
      <right/>
      <top/>
      <bottom/>
      <diagonal/>
    </border>
    <border>
      <left style="dashed">
        <color theme="1"/>
      </left>
      <right/>
      <top/>
      <bottom style="dashed">
        <color theme="1"/>
      </bottom>
      <diagonal/>
    </border>
    <border>
      <left/>
      <right/>
      <top style="dashed">
        <color theme="1"/>
      </top>
      <bottom/>
      <diagonal/>
    </border>
    <border>
      <left/>
      <right/>
      <top/>
      <bottom style="dashed">
        <color theme="1"/>
      </bottom>
      <diagonal/>
    </border>
    <border>
      <left style="hair">
        <color theme="1"/>
      </left>
      <right style="hair">
        <color theme="1"/>
      </right>
      <top style="hair">
        <color theme="1"/>
      </top>
      <bottom style="hair">
        <color theme="1"/>
      </bottom>
      <diagonal/>
    </border>
    <border>
      <left style="dashed">
        <color theme="1"/>
      </left>
      <right/>
      <top style="dashed">
        <color theme="1"/>
      </top>
      <bottom style="dashed">
        <color theme="1"/>
      </bottom>
      <diagonal/>
    </border>
    <border>
      <left style="hair">
        <color theme="1"/>
      </left>
      <right style="hair">
        <color theme="1"/>
      </right>
      <top style="hair">
        <color theme="1"/>
      </top>
      <bottom/>
      <diagonal/>
    </border>
    <border>
      <left style="dashed">
        <color theme="1"/>
      </left>
      <right style="hair">
        <color theme="1"/>
      </right>
      <top style="dashed">
        <color theme="1"/>
      </top>
      <bottom/>
      <diagonal/>
    </border>
    <border>
      <left style="dashed">
        <color theme="1"/>
      </left>
      <right style="hair">
        <color theme="1"/>
      </right>
      <top/>
      <bottom/>
      <diagonal/>
    </border>
    <border>
      <left style="dashed">
        <color theme="1"/>
      </left>
      <right style="hair">
        <color theme="1"/>
      </right>
      <top/>
      <bottom style="dashed">
        <color theme="1"/>
      </bottom>
      <diagonal/>
    </border>
    <border>
      <left style="hair">
        <color theme="1"/>
      </left>
      <right style="hair">
        <color theme="1"/>
      </right>
      <top/>
      <bottom/>
      <diagonal/>
    </border>
    <border>
      <left style="hair">
        <color theme="1"/>
      </left>
      <right style="hair">
        <color theme="1"/>
      </right>
      <top/>
      <bottom style="hair">
        <color theme="1"/>
      </bottom>
      <diagonal/>
    </border>
    <border>
      <left/>
      <right style="dashed">
        <color theme="1"/>
      </right>
      <top style="hair">
        <color theme="1"/>
      </top>
      <bottom/>
      <diagonal/>
    </border>
    <border>
      <left/>
      <right style="dashed">
        <color theme="1"/>
      </right>
      <top/>
      <bottom/>
      <diagonal/>
    </border>
    <border>
      <left/>
      <right style="dashed">
        <color theme="1"/>
      </right>
      <top/>
      <bottom style="dashed">
        <color theme="1"/>
      </bottom>
      <diagonal/>
    </border>
    <border>
      <left/>
      <right style="dashed">
        <color theme="1"/>
      </right>
      <top style="dashed">
        <color theme="1"/>
      </top>
      <bottom/>
      <diagonal/>
    </border>
    <border>
      <left style="dashed">
        <color theme="1"/>
      </left>
      <right/>
      <top style="hair">
        <color theme="1"/>
      </top>
      <bottom/>
      <diagonal/>
    </border>
    <border>
      <left style="hair">
        <color theme="1"/>
      </left>
      <right/>
      <top style="hair">
        <color theme="1"/>
      </top>
      <bottom/>
      <diagonal/>
    </border>
    <border>
      <left style="hair">
        <color theme="1"/>
      </left>
      <right/>
      <top/>
      <bottom/>
      <diagonal/>
    </border>
    <border>
      <left style="hair">
        <color theme="1"/>
      </left>
      <right/>
      <top/>
      <bottom style="hair">
        <color theme="1"/>
      </bottom>
      <diagonal/>
    </border>
    <border>
      <left style="dotted">
        <color indexed="64"/>
      </left>
      <right style="dotted">
        <color indexed="64"/>
      </right>
      <top style="dotted">
        <color indexed="64"/>
      </top>
      <bottom style="dotted">
        <color indexed="64"/>
      </bottom>
      <diagonal/>
    </border>
  </borders>
  <cellStyleXfs count="6">
    <xf numFmtId="0" fontId="0" fillId="0" borderId="0"/>
    <xf numFmtId="9" fontId="12" fillId="0" borderId="0" applyFont="0" applyFill="0" applyBorder="0" applyAlignment="0" applyProtection="0"/>
    <xf numFmtId="0" fontId="44" fillId="0" borderId="0"/>
    <xf numFmtId="0" fontId="45" fillId="0" borderId="0"/>
    <xf numFmtId="0" fontId="4" fillId="0" borderId="0"/>
    <xf numFmtId="0" fontId="44" fillId="0" borderId="0"/>
  </cellStyleXfs>
  <cellXfs count="554">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5" borderId="0" xfId="0" applyFont="1" applyFill="1" applyAlignment="1">
      <alignment horizontal="center" vertical="center" wrapText="1" readingOrder="1"/>
    </xf>
    <xf numFmtId="0" fontId="8" fillId="4"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6"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9" fillId="8" borderId="1" xfId="0" applyFont="1" applyFill="1" applyBorder="1" applyAlignment="1">
      <alignment horizontal="center" vertical="center" wrapText="1" readingOrder="1"/>
    </xf>
    <xf numFmtId="0" fontId="13" fillId="0" borderId="0" xfId="0" applyFont="1"/>
    <xf numFmtId="0" fontId="11" fillId="0" borderId="0" xfId="0" applyFont="1"/>
    <xf numFmtId="0" fontId="25" fillId="0" borderId="0" xfId="0" applyFont="1" applyAlignment="1">
      <alignment vertical="center"/>
    </xf>
    <xf numFmtId="0" fontId="26" fillId="0" borderId="0" xfId="0" applyFont="1"/>
    <xf numFmtId="0" fontId="24" fillId="0" borderId="0" xfId="0" applyFont="1"/>
    <xf numFmtId="0" fontId="0" fillId="0" borderId="0" xfId="0" pivotButton="1"/>
    <xf numFmtId="0" fontId="10" fillId="0" borderId="0" xfId="0" applyFont="1" applyAlignment="1">
      <alignment horizontal="justify" vertical="center" wrapText="1" readingOrder="1"/>
    </xf>
    <xf numFmtId="0" fontId="27" fillId="0" borderId="0" xfId="0" applyFont="1"/>
    <xf numFmtId="0" fontId="29" fillId="5" borderId="0" xfId="0" applyFont="1" applyFill="1" applyAlignment="1">
      <alignment horizontal="center" vertical="center" wrapText="1" readingOrder="1"/>
    </xf>
    <xf numFmtId="0" fontId="30" fillId="0" borderId="4" xfId="0" applyFont="1" applyBorder="1" applyAlignment="1">
      <alignment horizontal="justify" vertical="center" wrapText="1" readingOrder="1"/>
    </xf>
    <xf numFmtId="0" fontId="30" fillId="0" borderId="1" xfId="0" applyFont="1" applyBorder="1" applyAlignment="1">
      <alignment horizontal="justify" vertical="center" wrapText="1" readingOrder="1"/>
    </xf>
    <xf numFmtId="0" fontId="30" fillId="4" borderId="4"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30" fillId="0" borderId="4" xfId="0" applyFont="1" applyBorder="1" applyAlignment="1">
      <alignment horizontal="center" vertical="center" wrapText="1" readingOrder="1"/>
    </xf>
    <xf numFmtId="0" fontId="30" fillId="0" borderId="1" xfId="0" applyFont="1" applyBorder="1" applyAlignment="1">
      <alignment horizontal="center" vertical="center" wrapText="1" readingOrder="1"/>
    </xf>
    <xf numFmtId="0" fontId="17" fillId="10" borderId="5" xfId="0" applyFont="1" applyFill="1" applyBorder="1" applyAlignment="1" applyProtection="1">
      <alignment horizontal="center" vertical="center" wrapText="1" readingOrder="1"/>
      <protection hidden="1"/>
    </xf>
    <xf numFmtId="0" fontId="17" fillId="10" borderId="12" xfId="0" applyFont="1" applyFill="1" applyBorder="1" applyAlignment="1" applyProtection="1">
      <alignment horizontal="center" vertical="center" wrapText="1" readingOrder="1"/>
      <protection hidden="1"/>
    </xf>
    <xf numFmtId="0" fontId="17" fillId="10" borderId="6" xfId="0" applyFont="1" applyFill="1" applyBorder="1" applyAlignment="1" applyProtection="1">
      <alignment horizontal="center" vertical="center" wrapText="1" readingOrder="1"/>
      <protection hidden="1"/>
    </xf>
    <xf numFmtId="0" fontId="17" fillId="11" borderId="5" xfId="0" applyFont="1" applyFill="1" applyBorder="1" applyAlignment="1" applyProtection="1">
      <alignment horizontal="center" wrapText="1" readingOrder="1"/>
      <protection hidden="1"/>
    </xf>
    <xf numFmtId="0" fontId="17" fillId="11" borderId="12" xfId="0" applyFont="1" applyFill="1" applyBorder="1" applyAlignment="1" applyProtection="1">
      <alignment horizontal="center" wrapText="1" readingOrder="1"/>
      <protection hidden="1"/>
    </xf>
    <xf numFmtId="0" fontId="17" fillId="11" borderId="6" xfId="0" applyFont="1" applyFill="1" applyBorder="1" applyAlignment="1" applyProtection="1">
      <alignment horizontal="center" wrapText="1" readingOrder="1"/>
      <protection hidden="1"/>
    </xf>
    <xf numFmtId="0" fontId="17" fillId="10" borderId="7" xfId="0" applyFont="1" applyFill="1" applyBorder="1" applyAlignment="1" applyProtection="1">
      <alignment horizontal="center" vertical="center" wrapText="1" readingOrder="1"/>
      <protection hidden="1"/>
    </xf>
    <xf numFmtId="0" fontId="17" fillId="10" borderId="0" xfId="0" applyFont="1" applyFill="1" applyAlignment="1" applyProtection="1">
      <alignment horizontal="center" vertical="center" wrapText="1" readingOrder="1"/>
      <protection hidden="1"/>
    </xf>
    <xf numFmtId="0" fontId="17" fillId="10" borderId="8" xfId="0" applyFont="1" applyFill="1" applyBorder="1" applyAlignment="1" applyProtection="1">
      <alignment horizontal="center" vertical="center" wrapText="1" readingOrder="1"/>
      <protection hidden="1"/>
    </xf>
    <xf numFmtId="0" fontId="17" fillId="11" borderId="7" xfId="0" applyFont="1" applyFill="1" applyBorder="1" applyAlignment="1" applyProtection="1">
      <alignment horizontal="center" wrapText="1" readingOrder="1"/>
      <protection hidden="1"/>
    </xf>
    <xf numFmtId="0" fontId="17" fillId="11" borderId="0" xfId="0" applyFont="1" applyFill="1" applyAlignment="1" applyProtection="1">
      <alignment horizontal="center" wrapText="1" readingOrder="1"/>
      <protection hidden="1"/>
    </xf>
    <xf numFmtId="0" fontId="17" fillId="11" borderId="8" xfId="0" applyFont="1" applyFill="1" applyBorder="1" applyAlignment="1" applyProtection="1">
      <alignment horizontal="center" wrapText="1" readingOrder="1"/>
      <protection hidden="1"/>
    </xf>
    <xf numFmtId="0" fontId="17" fillId="10" borderId="9" xfId="0" applyFont="1" applyFill="1" applyBorder="1" applyAlignment="1" applyProtection="1">
      <alignment horizontal="center" vertical="center" wrapText="1" readingOrder="1"/>
      <protection hidden="1"/>
    </xf>
    <xf numFmtId="0" fontId="17" fillId="10" borderId="11" xfId="0" applyFont="1" applyFill="1" applyBorder="1" applyAlignment="1" applyProtection="1">
      <alignment horizontal="center" vertical="center" wrapText="1" readingOrder="1"/>
      <protection hidden="1"/>
    </xf>
    <xf numFmtId="0" fontId="17" fillId="10" borderId="10" xfId="0" applyFont="1" applyFill="1" applyBorder="1" applyAlignment="1" applyProtection="1">
      <alignment horizontal="center" vertical="center" wrapText="1" readingOrder="1"/>
      <protection hidden="1"/>
    </xf>
    <xf numFmtId="0" fontId="17" fillId="11" borderId="9" xfId="0" applyFont="1" applyFill="1" applyBorder="1" applyAlignment="1" applyProtection="1">
      <alignment horizontal="center" wrapText="1" readingOrder="1"/>
      <protection hidden="1"/>
    </xf>
    <xf numFmtId="0" fontId="17" fillId="11" borderId="11" xfId="0" applyFont="1" applyFill="1" applyBorder="1" applyAlignment="1" applyProtection="1">
      <alignment horizontal="center" wrapText="1" readingOrder="1"/>
      <protection hidden="1"/>
    </xf>
    <xf numFmtId="0" fontId="17" fillId="11" borderId="10" xfId="0" applyFont="1" applyFill="1" applyBorder="1" applyAlignment="1" applyProtection="1">
      <alignment horizont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4" borderId="5" xfId="0" applyFont="1" applyFill="1" applyBorder="1" applyAlignment="1" applyProtection="1">
      <alignment horizontal="center" wrapText="1" readingOrder="1"/>
      <protection hidden="1"/>
    </xf>
    <xf numFmtId="0" fontId="17" fillId="4" borderId="12" xfId="0" applyFont="1" applyFill="1" applyBorder="1" applyAlignment="1" applyProtection="1">
      <alignment horizontal="center" wrapText="1" readingOrder="1"/>
      <protection hidden="1"/>
    </xf>
    <xf numFmtId="0" fontId="17" fillId="4" borderId="6" xfId="0" applyFont="1" applyFill="1" applyBorder="1" applyAlignment="1" applyProtection="1">
      <alignment horizontal="center" wrapText="1" readingOrder="1"/>
      <protection hidden="1"/>
    </xf>
    <xf numFmtId="0" fontId="17" fillId="4" borderId="7" xfId="0" applyFont="1" applyFill="1" applyBorder="1" applyAlignment="1" applyProtection="1">
      <alignment horizontal="center" wrapText="1" readingOrder="1"/>
      <protection hidden="1"/>
    </xf>
    <xf numFmtId="0" fontId="17" fillId="4" borderId="0" xfId="0" applyFont="1" applyFill="1" applyAlignment="1" applyProtection="1">
      <alignment horizontal="center" wrapText="1" readingOrder="1"/>
      <protection hidden="1"/>
    </xf>
    <xf numFmtId="0" fontId="17" fillId="4" borderId="8" xfId="0" applyFont="1" applyFill="1" applyBorder="1" applyAlignment="1" applyProtection="1">
      <alignment horizontal="center" wrapText="1" readingOrder="1"/>
      <protection hidden="1"/>
    </xf>
    <xf numFmtId="0" fontId="17" fillId="4" borderId="9" xfId="0" applyFont="1" applyFill="1" applyBorder="1" applyAlignment="1" applyProtection="1">
      <alignment horizontal="center" wrapText="1" readingOrder="1"/>
      <protection hidden="1"/>
    </xf>
    <xf numFmtId="0" fontId="17" fillId="4" borderId="11" xfId="0" applyFont="1" applyFill="1" applyBorder="1" applyAlignment="1" applyProtection="1">
      <alignment horizontal="center" wrapText="1" readingOrder="1"/>
      <protection hidden="1"/>
    </xf>
    <xf numFmtId="0" fontId="17" fillId="4" borderId="10"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0" fillId="2" borderId="0" xfId="0" applyFill="1"/>
    <xf numFmtId="0" fontId="46" fillId="2" borderId="41" xfId="2" applyFont="1" applyFill="1" applyBorder="1"/>
    <xf numFmtId="0" fontId="46" fillId="2" borderId="42" xfId="2" applyFont="1" applyFill="1" applyBorder="1"/>
    <xf numFmtId="0" fontId="46" fillId="2" borderId="43" xfId="2" applyFont="1" applyFill="1" applyBorder="1"/>
    <xf numFmtId="0" fontId="14" fillId="2" borderId="0" xfId="0" applyFont="1" applyFill="1" applyAlignment="1">
      <alignment vertical="center"/>
    </xf>
    <xf numFmtId="0" fontId="4" fillId="2" borderId="0" xfId="0" applyFont="1" applyFill="1"/>
    <xf numFmtId="0" fontId="33" fillId="2" borderId="0" xfId="0" applyFont="1" applyFill="1"/>
    <xf numFmtId="0" fontId="34" fillId="2" borderId="24" xfId="0" applyFont="1" applyFill="1" applyBorder="1" applyAlignment="1">
      <alignment horizontal="center" vertical="center" wrapText="1" readingOrder="1"/>
    </xf>
    <xf numFmtId="0" fontId="35" fillId="2" borderId="24" xfId="0" applyFont="1" applyFill="1" applyBorder="1" applyAlignment="1">
      <alignment horizontal="justify" vertical="center" wrapText="1" readingOrder="1"/>
    </xf>
    <xf numFmtId="9" fontId="34" fillId="2" borderId="33" xfId="0" applyNumberFormat="1"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5" fillId="2" borderId="23" xfId="0" applyFont="1" applyFill="1" applyBorder="1" applyAlignment="1">
      <alignment horizontal="justify" vertical="center" wrapText="1" readingOrder="1"/>
    </xf>
    <xf numFmtId="9" fontId="34" fillId="2" borderId="28" xfId="0" applyNumberFormat="1" applyFont="1" applyFill="1" applyBorder="1" applyAlignment="1">
      <alignment horizontal="center" vertical="center" wrapText="1" readingOrder="1"/>
    </xf>
    <xf numFmtId="0" fontId="35" fillId="2" borderId="28"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xf numFmtId="0" fontId="35" fillId="2" borderId="30" xfId="0" applyFont="1" applyFill="1" applyBorder="1" applyAlignment="1">
      <alignment horizontal="justify" vertical="center" wrapText="1" readingOrder="1"/>
    </xf>
    <xf numFmtId="0" fontId="35" fillId="2" borderId="31" xfId="0" applyFont="1" applyFill="1" applyBorder="1" applyAlignment="1">
      <alignment horizontal="center" vertical="center" wrapText="1" readingOrder="1"/>
    </xf>
    <xf numFmtId="0" fontId="43" fillId="2" borderId="0" xfId="0" applyFont="1" applyFill="1"/>
    <xf numFmtId="0" fontId="34" fillId="14" borderId="35" xfId="0" applyFont="1" applyFill="1" applyBorder="1" applyAlignment="1">
      <alignment horizontal="center" vertical="center" wrapText="1" readingOrder="1"/>
    </xf>
    <xf numFmtId="0" fontId="34" fillId="14" borderId="36" xfId="0" applyFont="1" applyFill="1" applyBorder="1" applyAlignment="1">
      <alignment horizontal="center" vertical="center" wrapText="1" readingOrder="1"/>
    </xf>
    <xf numFmtId="0" fontId="11" fillId="2" borderId="0" xfId="0" applyFont="1" applyFill="1"/>
    <xf numFmtId="0" fontId="28" fillId="2" borderId="0" xfId="0" applyFont="1" applyFill="1" applyAlignment="1">
      <alignment horizontal="center" vertical="center" wrapText="1"/>
    </xf>
    <xf numFmtId="0" fontId="10" fillId="2" borderId="0" xfId="0" applyFont="1" applyFill="1" applyAlignment="1">
      <alignment horizontal="justify" vertical="center" wrapText="1" readingOrder="1"/>
    </xf>
    <xf numFmtId="0" fontId="3" fillId="2" borderId="0" xfId="0" applyFont="1" applyFill="1" applyAlignment="1">
      <alignment vertical="center"/>
    </xf>
    <xf numFmtId="0" fontId="13" fillId="2" borderId="0" xfId="0" applyFont="1" applyFill="1"/>
    <xf numFmtId="0" fontId="3" fillId="2" borderId="0" xfId="0" applyFont="1" applyFill="1" applyAlignment="1">
      <alignment horizontal="left" vertical="center"/>
    </xf>
    <xf numFmtId="0" fontId="46" fillId="2" borderId="7" xfId="2" applyFont="1" applyFill="1" applyBorder="1"/>
    <xf numFmtId="0" fontId="51" fillId="2" borderId="0" xfId="0" applyFont="1" applyFill="1" applyAlignment="1">
      <alignment horizontal="left" vertical="center" wrapText="1"/>
    </xf>
    <xf numFmtId="0" fontId="52" fillId="2" borderId="0" xfId="0" applyFont="1" applyFill="1" applyAlignment="1">
      <alignment horizontal="left" vertical="top" wrapText="1"/>
    </xf>
    <xf numFmtId="0" fontId="46" fillId="2" borderId="0" xfId="2" applyFont="1" applyFill="1"/>
    <xf numFmtId="0" fontId="46" fillId="2" borderId="8" xfId="2" applyFont="1" applyFill="1" applyBorder="1"/>
    <xf numFmtId="0" fontId="46" fillId="2" borderId="9" xfId="2" applyFont="1" applyFill="1" applyBorder="1"/>
    <xf numFmtId="0" fontId="46" fillId="2" borderId="11" xfId="2" applyFont="1" applyFill="1" applyBorder="1"/>
    <xf numFmtId="0" fontId="46" fillId="2" borderId="10" xfId="2" applyFont="1" applyFill="1" applyBorder="1"/>
    <xf numFmtId="0" fontId="50" fillId="2" borderId="0" xfId="2" applyFont="1" applyFill="1" applyAlignment="1">
      <alignment horizontal="left" vertical="center" wrapText="1"/>
    </xf>
    <xf numFmtId="0" fontId="46" fillId="2" borderId="0" xfId="2" applyFont="1" applyFill="1" applyAlignment="1">
      <alignment horizontal="left" vertical="center" wrapText="1"/>
    </xf>
    <xf numFmtId="0" fontId="46" fillId="2" borderId="0" xfId="2" quotePrefix="1" applyFont="1" applyFill="1" applyAlignment="1">
      <alignment horizontal="left" vertical="center" wrapText="1"/>
    </xf>
    <xf numFmtId="0" fontId="48" fillId="2" borderId="7" xfId="2" quotePrefix="1" applyFont="1" applyFill="1" applyBorder="1" applyAlignment="1">
      <alignment horizontal="left" vertical="top" wrapText="1"/>
    </xf>
    <xf numFmtId="0" fontId="49" fillId="2" borderId="0" xfId="2" quotePrefix="1" applyFont="1" applyFill="1" applyAlignment="1">
      <alignment horizontal="left" vertical="top" wrapText="1"/>
    </xf>
    <xf numFmtId="0" fontId="49" fillId="2" borderId="8" xfId="2" quotePrefix="1" applyFont="1" applyFill="1" applyBorder="1" applyAlignment="1">
      <alignment horizontal="left" vertical="top" wrapText="1"/>
    </xf>
    <xf numFmtId="0" fontId="56" fillId="0" borderId="0" xfId="0" applyFont="1"/>
    <xf numFmtId="0" fontId="56" fillId="2" borderId="0" xfId="0" applyFont="1" applyFill="1"/>
    <xf numFmtId="0" fontId="56" fillId="2" borderId="0" xfId="0" applyFont="1" applyFill="1" applyAlignment="1">
      <alignment horizontal="center" vertical="center"/>
    </xf>
    <xf numFmtId="0" fontId="56" fillId="2" borderId="0" xfId="0" applyFont="1" applyFill="1" applyAlignment="1">
      <alignment horizontal="left" vertical="center"/>
    </xf>
    <xf numFmtId="0" fontId="56" fillId="2" borderId="0" xfId="0" applyFont="1" applyFill="1" applyAlignment="1">
      <alignment horizontal="center"/>
    </xf>
    <xf numFmtId="0" fontId="56" fillId="0" borderId="0" xfId="0" applyFont="1" applyAlignment="1">
      <alignment vertical="center"/>
    </xf>
    <xf numFmtId="0" fontId="56" fillId="0" borderId="3" xfId="0" applyFont="1" applyBorder="1" applyAlignment="1">
      <alignment horizontal="center" vertical="center"/>
    </xf>
    <xf numFmtId="0" fontId="56" fillId="0" borderId="2" xfId="0" applyFont="1" applyBorder="1" applyAlignment="1">
      <alignment horizontal="center" vertical="center"/>
    </xf>
    <xf numFmtId="0" fontId="56" fillId="0" borderId="0" xfId="0" applyFont="1" applyAlignment="1">
      <alignment horizontal="center" vertical="center"/>
    </xf>
    <xf numFmtId="0" fontId="56" fillId="0" borderId="0" xfId="0" applyFont="1" applyAlignment="1">
      <alignment horizontal="center"/>
    </xf>
    <xf numFmtId="0" fontId="60" fillId="0" borderId="0" xfId="0" applyFont="1" applyAlignment="1">
      <alignment horizontal="left" vertical="center"/>
    </xf>
    <xf numFmtId="0" fontId="56" fillId="2" borderId="0" xfId="0" applyFont="1" applyFill="1" applyAlignment="1">
      <alignment vertical="center"/>
    </xf>
    <xf numFmtId="0" fontId="58" fillId="0" borderId="71" xfId="0" applyFont="1" applyBorder="1" applyAlignment="1">
      <alignment horizontal="justify" vertical="center" wrapText="1"/>
    </xf>
    <xf numFmtId="0" fontId="62" fillId="15" borderId="75" xfId="0" applyFont="1" applyFill="1" applyBorder="1" applyAlignment="1">
      <alignment horizontal="center" vertical="center"/>
    </xf>
    <xf numFmtId="0" fontId="62" fillId="15" borderId="76" xfId="0" applyFont="1" applyFill="1" applyBorder="1" applyAlignment="1">
      <alignment horizontal="center" vertical="center"/>
    </xf>
    <xf numFmtId="0" fontId="63" fillId="0" borderId="75" xfId="0" applyFont="1" applyBorder="1" applyAlignment="1">
      <alignment horizontal="center" vertical="center"/>
    </xf>
    <xf numFmtId="0" fontId="63" fillId="0" borderId="76" xfId="0" applyFont="1" applyBorder="1" applyAlignment="1">
      <alignment vertical="center"/>
    </xf>
    <xf numFmtId="0" fontId="63" fillId="0" borderId="76" xfId="0" applyFont="1" applyBorder="1" applyAlignment="1">
      <alignment horizontal="center" vertical="center"/>
    </xf>
    <xf numFmtId="0" fontId="63" fillId="0" borderId="76" xfId="0" applyFont="1" applyBorder="1" applyAlignment="1">
      <alignment vertical="center" wrapText="1"/>
    </xf>
    <xf numFmtId="0" fontId="63" fillId="0" borderId="72" xfId="0" applyFont="1" applyBorder="1" applyAlignment="1">
      <alignment horizontal="center" vertical="center"/>
    </xf>
    <xf numFmtId="0" fontId="63" fillId="0" borderId="74" xfId="0" applyFont="1" applyBorder="1" applyAlignment="1">
      <alignment horizontal="center" vertical="center"/>
    </xf>
    <xf numFmtId="0" fontId="62" fillId="16" borderId="77" xfId="0" applyFont="1" applyFill="1" applyBorder="1" applyAlignment="1">
      <alignment horizontal="center" vertical="center" wrapText="1"/>
    </xf>
    <xf numFmtId="0" fontId="62" fillId="16" borderId="10" xfId="0" applyFont="1" applyFill="1" applyBorder="1" applyAlignment="1">
      <alignment horizontal="center" vertical="center" wrapText="1"/>
    </xf>
    <xf numFmtId="0" fontId="63" fillId="0" borderId="77" xfId="0" applyFont="1" applyBorder="1" applyAlignment="1">
      <alignment vertical="center"/>
    </xf>
    <xf numFmtId="0" fontId="63" fillId="0" borderId="10" xfId="0" applyFont="1" applyBorder="1" applyAlignment="1">
      <alignment vertical="center"/>
    </xf>
    <xf numFmtId="0" fontId="63" fillId="12" borderId="10"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63" fillId="8" borderId="10" xfId="0" applyFont="1" applyFill="1" applyBorder="1" applyAlignment="1">
      <alignment horizontal="center" vertical="center" wrapText="1"/>
    </xf>
    <xf numFmtId="0" fontId="56" fillId="2" borderId="0" xfId="0" applyFont="1" applyFill="1" applyAlignment="1">
      <alignment horizontal="center" vertical="center" wrapText="1"/>
    </xf>
    <xf numFmtId="0" fontId="56" fillId="0" borderId="2"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wrapText="1"/>
    </xf>
    <xf numFmtId="0" fontId="56" fillId="2" borderId="0" xfId="0" applyFont="1" applyFill="1" applyAlignment="1">
      <alignment vertical="center" wrapText="1"/>
    </xf>
    <xf numFmtId="0" fontId="56" fillId="0" borderId="0" xfId="0" applyFont="1" applyAlignment="1">
      <alignment vertical="center" wrapText="1"/>
    </xf>
    <xf numFmtId="0" fontId="58" fillId="0" borderId="78" xfId="0" applyFont="1" applyBorder="1" applyAlignment="1">
      <alignment horizontal="justify" vertical="center" wrapText="1"/>
    </xf>
    <xf numFmtId="0" fontId="64" fillId="0" borderId="0" xfId="0" applyFont="1"/>
    <xf numFmtId="0" fontId="55" fillId="0" borderId="23" xfId="5" applyFont="1" applyBorder="1" applyAlignment="1">
      <alignment horizontal="center" vertical="center" wrapText="1"/>
    </xf>
    <xf numFmtId="0" fontId="56" fillId="0" borderId="23" xfId="5" applyFont="1" applyBorder="1" applyAlignment="1">
      <alignment horizontal="center" vertical="center" wrapText="1"/>
    </xf>
    <xf numFmtId="0" fontId="56" fillId="2" borderId="23" xfId="5" applyFont="1" applyFill="1" applyBorder="1" applyAlignment="1">
      <alignment horizontal="center" vertical="center" wrapText="1"/>
    </xf>
    <xf numFmtId="0" fontId="44" fillId="0" borderId="66" xfId="5" applyBorder="1" applyAlignment="1">
      <alignment horizontal="center" vertical="center"/>
    </xf>
    <xf numFmtId="0" fontId="68" fillId="2" borderId="0" xfId="0" applyFont="1" applyFill="1"/>
    <xf numFmtId="0" fontId="69" fillId="2" borderId="41" xfId="2" applyFont="1" applyFill="1" applyBorder="1"/>
    <xf numFmtId="0" fontId="69" fillId="2" borderId="42" xfId="2" applyFont="1" applyFill="1" applyBorder="1"/>
    <xf numFmtId="0" fontId="69" fillId="2" borderId="43" xfId="2" applyFont="1" applyFill="1" applyBorder="1"/>
    <xf numFmtId="0" fontId="71" fillId="2" borderId="7" xfId="2" quotePrefix="1" applyFont="1" applyFill="1" applyBorder="1" applyAlignment="1">
      <alignment horizontal="left" vertical="top" wrapText="1"/>
    </xf>
    <xf numFmtId="0" fontId="69" fillId="2" borderId="0" xfId="2" quotePrefix="1" applyFont="1" applyFill="1" applyAlignment="1">
      <alignment horizontal="left" vertical="top" wrapText="1"/>
    </xf>
    <xf numFmtId="0" fontId="69" fillId="2" borderId="8" xfId="2" quotePrefix="1" applyFont="1" applyFill="1" applyBorder="1" applyAlignment="1">
      <alignment horizontal="left" vertical="top" wrapText="1"/>
    </xf>
    <xf numFmtId="0" fontId="69" fillId="2" borderId="7" xfId="2" applyFont="1" applyFill="1" applyBorder="1"/>
    <xf numFmtId="0" fontId="69" fillId="2" borderId="0" xfId="2" applyFont="1" applyFill="1"/>
    <xf numFmtId="0" fontId="69" fillId="2" borderId="0" xfId="2" applyFont="1" applyFill="1" applyAlignment="1">
      <alignment horizontal="left" vertical="center" wrapText="1"/>
    </xf>
    <xf numFmtId="0" fontId="69" fillId="2" borderId="0" xfId="2" quotePrefix="1" applyFont="1" applyFill="1" applyAlignment="1">
      <alignment horizontal="left" vertical="center" wrapText="1"/>
    </xf>
    <xf numFmtId="0" fontId="69" fillId="2" borderId="8" xfId="2" applyFont="1" applyFill="1" applyBorder="1"/>
    <xf numFmtId="0" fontId="69" fillId="2" borderId="0" xfId="0" applyFont="1" applyFill="1" applyAlignment="1">
      <alignment horizontal="left" vertical="center" wrapText="1"/>
    </xf>
    <xf numFmtId="0" fontId="69" fillId="2" borderId="0" xfId="0" applyFont="1" applyFill="1" applyAlignment="1">
      <alignment horizontal="left" vertical="top" wrapText="1"/>
    </xf>
    <xf numFmtId="0" fontId="69" fillId="2" borderId="9" xfId="2" applyFont="1" applyFill="1" applyBorder="1"/>
    <xf numFmtId="0" fontId="69" fillId="2" borderId="11" xfId="2" applyFont="1" applyFill="1" applyBorder="1"/>
    <xf numFmtId="0" fontId="69" fillId="2" borderId="10" xfId="2" applyFont="1" applyFill="1" applyBorder="1"/>
    <xf numFmtId="0" fontId="68" fillId="2" borderId="0" xfId="0" applyFont="1" applyFill="1" applyAlignment="1">
      <alignment vertical="center" wrapText="1"/>
    </xf>
    <xf numFmtId="0" fontId="68" fillId="2" borderId="0" xfId="0" applyFont="1" applyFill="1" applyAlignment="1">
      <alignment horizontal="center" vertical="center" wrapText="1"/>
    </xf>
    <xf numFmtId="0" fontId="68" fillId="2" borderId="0" xfId="0" applyFont="1" applyFill="1" applyAlignment="1">
      <alignment horizontal="center" vertical="center"/>
    </xf>
    <xf numFmtId="0" fontId="68" fillId="0" borderId="0" xfId="0" applyFont="1"/>
    <xf numFmtId="0" fontId="68" fillId="2" borderId="0" xfId="0" applyFont="1" applyFill="1" applyAlignment="1">
      <alignment vertical="center"/>
    </xf>
    <xf numFmtId="0" fontId="68" fillId="0" borderId="67" xfId="0" applyFont="1" applyBorder="1" applyAlignment="1">
      <alignment horizontal="center" vertical="center"/>
    </xf>
    <xf numFmtId="0" fontId="68" fillId="0" borderId="67" xfId="0" applyFont="1" applyBorder="1" applyAlignment="1" applyProtection="1">
      <alignment horizontal="justify" vertical="center" wrapText="1"/>
      <protection locked="0"/>
    </xf>
    <xf numFmtId="0" fontId="68" fillId="0" borderId="67" xfId="0" applyFont="1" applyBorder="1" applyAlignment="1" applyProtection="1">
      <alignment horizontal="center" vertical="center"/>
      <protection hidden="1"/>
    </xf>
    <xf numFmtId="0" fontId="68" fillId="0" borderId="67" xfId="0" applyFont="1" applyBorder="1" applyAlignment="1" applyProtection="1">
      <alignment horizontal="center" vertical="center" textRotation="90" wrapText="1"/>
      <protection locked="0"/>
    </xf>
    <xf numFmtId="9" fontId="68" fillId="0" borderId="67" xfId="0" applyNumberFormat="1" applyFont="1" applyBorder="1" applyAlignment="1" applyProtection="1">
      <alignment horizontal="center" vertical="center" wrapText="1"/>
      <protection hidden="1"/>
    </xf>
    <xf numFmtId="164" fontId="68" fillId="0" borderId="67" xfId="1" applyNumberFormat="1" applyFont="1" applyBorder="1" applyAlignment="1">
      <alignment horizontal="center" vertical="top"/>
    </xf>
    <xf numFmtId="0" fontId="64" fillId="0" borderId="67" xfId="0" applyFont="1" applyBorder="1" applyAlignment="1" applyProtection="1">
      <alignment horizontal="center" vertical="center" textRotation="90" wrapText="1"/>
      <protection hidden="1"/>
    </xf>
    <xf numFmtId="9" fontId="68" fillId="0" borderId="67" xfId="0" applyNumberFormat="1" applyFont="1" applyBorder="1" applyAlignment="1" applyProtection="1">
      <alignment horizontal="center" vertical="center"/>
      <protection hidden="1"/>
    </xf>
    <xf numFmtId="0" fontId="64" fillId="0" borderId="67" xfId="0" applyFont="1" applyBorder="1" applyAlignment="1" applyProtection="1">
      <alignment horizontal="center" vertical="center" textRotation="90"/>
      <protection hidden="1"/>
    </xf>
    <xf numFmtId="0" fontId="68" fillId="0" borderId="67" xfId="0" applyFont="1" applyBorder="1" applyAlignment="1" applyProtection="1">
      <alignment horizontal="center" vertical="center" textRotation="90"/>
      <protection locked="0"/>
    </xf>
    <xf numFmtId="0" fontId="68" fillId="0" borderId="0" xfId="0" applyFont="1" applyAlignment="1">
      <alignment vertical="center"/>
    </xf>
    <xf numFmtId="0" fontId="68" fillId="0" borderId="67" xfId="0" applyFont="1" applyBorder="1" applyAlignment="1" applyProtection="1">
      <alignment horizontal="justify" vertical="top" wrapText="1"/>
      <protection locked="0"/>
    </xf>
    <xf numFmtId="0" fontId="68" fillId="0" borderId="67" xfId="0" applyFont="1" applyBorder="1" applyAlignment="1" applyProtection="1">
      <alignment horizontal="center" vertical="top" wrapText="1"/>
      <protection locked="0"/>
    </xf>
    <xf numFmtId="164" fontId="68" fillId="0" borderId="67" xfId="1" applyNumberFormat="1" applyFont="1" applyBorder="1" applyAlignment="1">
      <alignment horizontal="center" vertical="center"/>
    </xf>
    <xf numFmtId="164" fontId="68" fillId="8" borderId="67" xfId="1" applyNumberFormat="1" applyFont="1" applyFill="1" applyBorder="1" applyAlignment="1">
      <alignment horizontal="center" vertical="center"/>
    </xf>
    <xf numFmtId="0" fontId="68" fillId="0" borderId="67" xfId="0" applyFont="1" applyBorder="1" applyAlignment="1" applyProtection="1">
      <alignment horizontal="justify" vertical="top"/>
      <protection locked="0"/>
    </xf>
    <xf numFmtId="164" fontId="68" fillId="8" borderId="67" xfId="1" applyNumberFormat="1" applyFont="1" applyFill="1" applyBorder="1" applyAlignment="1">
      <alignment horizontal="center" vertical="top"/>
    </xf>
    <xf numFmtId="0" fontId="63" fillId="0" borderId="0" xfId="0" applyFont="1" applyAlignment="1">
      <alignment vertical="center"/>
    </xf>
    <xf numFmtId="0" fontId="62" fillId="16" borderId="0" xfId="0" applyFont="1" applyFill="1" applyAlignment="1">
      <alignment horizontal="center" vertical="center"/>
    </xf>
    <xf numFmtId="0" fontId="62" fillId="16" borderId="0" xfId="0" applyFont="1" applyFill="1" applyAlignment="1">
      <alignment horizontal="center" vertical="center" wrapText="1"/>
    </xf>
    <xf numFmtId="0" fontId="63" fillId="12" borderId="0" xfId="0" applyFont="1" applyFill="1" applyAlignment="1">
      <alignment horizontal="center" vertical="center" wrapText="1"/>
    </xf>
    <xf numFmtId="0" fontId="61" fillId="17" borderId="0" xfId="0" applyFont="1" applyFill="1" applyAlignment="1">
      <alignment horizontal="center" vertical="center" wrapText="1"/>
    </xf>
    <xf numFmtId="0" fontId="63" fillId="8" borderId="0" xfId="0" applyFont="1" applyFill="1" applyAlignment="1">
      <alignment horizontal="center" vertical="center" wrapText="1"/>
    </xf>
    <xf numFmtId="0" fontId="64" fillId="0" borderId="67" xfId="0" applyFont="1" applyBorder="1" applyAlignment="1">
      <alignment horizontal="center" vertical="center" textRotation="90" wrapText="1"/>
    </xf>
    <xf numFmtId="0" fontId="64" fillId="0" borderId="0" xfId="0" applyFont="1" applyAlignment="1">
      <alignment horizontal="center" vertical="center"/>
    </xf>
    <xf numFmtId="0" fontId="55" fillId="0" borderId="0" xfId="5" applyFont="1" applyAlignment="1">
      <alignment vertical="center" wrapText="1"/>
    </xf>
    <xf numFmtId="0" fontId="55" fillId="0" borderId="0" xfId="5" applyFont="1" applyAlignment="1">
      <alignment horizontal="left" vertical="center"/>
    </xf>
    <xf numFmtId="0" fontId="67" fillId="0" borderId="79" xfId="5" applyFont="1" applyBorder="1" applyAlignment="1">
      <alignment horizontal="left" vertical="top" wrapText="1"/>
    </xf>
    <xf numFmtId="0" fontId="67" fillId="0" borderId="80" xfId="5" applyFont="1" applyBorder="1" applyAlignment="1">
      <alignment horizontal="left" vertical="top"/>
    </xf>
    <xf numFmtId="0" fontId="67" fillId="0" borderId="81" xfId="5" applyFont="1" applyBorder="1" applyAlignment="1">
      <alignment horizontal="left" vertical="top"/>
    </xf>
    <xf numFmtId="0" fontId="46" fillId="0" borderId="23" xfId="5" applyFont="1" applyBorder="1" applyAlignment="1">
      <alignment horizontal="center" vertical="center"/>
    </xf>
    <xf numFmtId="0" fontId="65" fillId="0" borderId="23" xfId="5" applyFont="1" applyBorder="1" applyAlignment="1">
      <alignment horizontal="left" vertical="center" wrapText="1"/>
    </xf>
    <xf numFmtId="0" fontId="66" fillId="0" borderId="23" xfId="5" applyFont="1" applyBorder="1" applyAlignment="1">
      <alignment horizontal="left" vertical="center" wrapText="1"/>
    </xf>
    <xf numFmtId="0" fontId="66" fillId="0" borderId="23" xfId="5" applyFont="1" applyBorder="1" applyAlignment="1">
      <alignment horizontal="left" vertical="top" wrapText="1"/>
    </xf>
    <xf numFmtId="0" fontId="55" fillId="0" borderId="79" xfId="5" applyFont="1" applyBorder="1" applyAlignment="1">
      <alignment horizontal="center" vertical="center"/>
    </xf>
    <xf numFmtId="0" fontId="55" fillId="0" borderId="80" xfId="5" applyFont="1" applyBorder="1" applyAlignment="1">
      <alignment horizontal="center" vertical="center"/>
    </xf>
    <xf numFmtId="0" fontId="55" fillId="0" borderId="81" xfId="5" applyFont="1" applyBorder="1" applyAlignment="1">
      <alignment horizontal="center" vertical="center"/>
    </xf>
    <xf numFmtId="0" fontId="44" fillId="0" borderId="82" xfId="5" applyBorder="1" applyAlignment="1">
      <alignment horizontal="center" vertical="center"/>
    </xf>
    <xf numFmtId="0" fontId="44" fillId="0" borderId="83" xfId="5" applyBorder="1" applyAlignment="1">
      <alignment horizontal="center" vertical="center"/>
    </xf>
    <xf numFmtId="0" fontId="44" fillId="0" borderId="24" xfId="5" applyBorder="1" applyAlignment="1">
      <alignment horizontal="center" vertical="center"/>
    </xf>
    <xf numFmtId="0" fontId="55" fillId="0" borderId="23" xfId="5" applyFont="1" applyBorder="1" applyAlignment="1">
      <alignment horizontal="center" vertical="center" wrapText="1"/>
    </xf>
    <xf numFmtId="0" fontId="66" fillId="0" borderId="82" xfId="5" applyFont="1" applyBorder="1" applyAlignment="1">
      <alignment horizontal="center" vertical="top" wrapText="1"/>
    </xf>
    <xf numFmtId="0" fontId="66" fillId="0" borderId="83" xfId="5" applyFont="1" applyBorder="1" applyAlignment="1">
      <alignment horizontal="center" vertical="top" wrapText="1"/>
    </xf>
    <xf numFmtId="0" fontId="66" fillId="0" borderId="24" xfId="5" applyFont="1" applyBorder="1" applyAlignment="1">
      <alignment horizontal="center" vertical="top" wrapText="1"/>
    </xf>
    <xf numFmtId="0" fontId="56" fillId="0" borderId="23" xfId="5" applyFont="1" applyBorder="1" applyAlignment="1">
      <alignment horizontal="center" vertical="center" wrapText="1"/>
    </xf>
    <xf numFmtId="0" fontId="56" fillId="0" borderId="23" xfId="5" applyFont="1" applyBorder="1" applyAlignment="1">
      <alignment horizontal="left" vertical="center" wrapText="1"/>
    </xf>
    <xf numFmtId="0" fontId="56" fillId="0" borderId="23" xfId="5" applyFont="1" applyBorder="1" applyAlignment="1">
      <alignment horizontal="left" vertical="top" wrapText="1"/>
    </xf>
    <xf numFmtId="0" fontId="56" fillId="2" borderId="23" xfId="5" applyFont="1" applyFill="1" applyBorder="1" applyAlignment="1">
      <alignment horizontal="center" vertical="center" wrapText="1"/>
    </xf>
    <xf numFmtId="0" fontId="56" fillId="2" borderId="79" xfId="5" applyFont="1" applyFill="1" applyBorder="1" applyAlignment="1">
      <alignment horizontal="left" vertical="top" wrapText="1"/>
    </xf>
    <xf numFmtId="0" fontId="56" fillId="2" borderId="80" xfId="5" applyFont="1" applyFill="1" applyBorder="1" applyAlignment="1">
      <alignment horizontal="left" vertical="top" wrapText="1"/>
    </xf>
    <xf numFmtId="0" fontId="56" fillId="2" borderId="81" xfId="5" applyFont="1" applyFill="1" applyBorder="1" applyAlignment="1">
      <alignment horizontal="left" vertical="top" wrapText="1"/>
    </xf>
    <xf numFmtId="0" fontId="12" fillId="0" borderId="79" xfId="4" applyFont="1" applyBorder="1" applyAlignment="1">
      <alignment horizontal="center" vertical="center"/>
    </xf>
    <xf numFmtId="0" fontId="12" fillId="0" borderId="80" xfId="4" applyFont="1" applyBorder="1" applyAlignment="1">
      <alignment horizontal="center" vertical="center"/>
    </xf>
    <xf numFmtId="0" fontId="12" fillId="0" borderId="81" xfId="4" applyFont="1" applyBorder="1" applyAlignment="1">
      <alignment horizontal="center" vertical="center"/>
    </xf>
    <xf numFmtId="0" fontId="56" fillId="0" borderId="23" xfId="4" applyFont="1" applyBorder="1" applyAlignment="1">
      <alignment horizontal="center" vertical="center" wrapText="1"/>
    </xf>
    <xf numFmtId="0" fontId="69" fillId="18" borderId="44" xfId="3" applyFont="1" applyFill="1" applyBorder="1" applyAlignment="1">
      <alignment horizontal="center" vertical="center" wrapText="1"/>
    </xf>
    <xf numFmtId="0" fontId="69" fillId="18" borderId="45" xfId="3" applyFont="1" applyFill="1" applyBorder="1" applyAlignment="1">
      <alignment horizontal="center" vertical="center" wrapText="1"/>
    </xf>
    <xf numFmtId="0" fontId="69" fillId="18" borderId="46" xfId="2" applyFont="1" applyFill="1" applyBorder="1" applyAlignment="1">
      <alignment horizontal="center" vertical="center"/>
    </xf>
    <xf numFmtId="0" fontId="69" fillId="18" borderId="47" xfId="2" applyFont="1" applyFill="1" applyBorder="1" applyAlignment="1">
      <alignment horizontal="center" vertical="center"/>
    </xf>
    <xf numFmtId="0" fontId="72" fillId="0" borderId="38" xfId="2" applyFont="1" applyBorder="1" applyAlignment="1">
      <alignment horizontal="center" vertical="center" wrapText="1"/>
    </xf>
    <xf numFmtId="0" fontId="72" fillId="0" borderId="39" xfId="2" applyFont="1" applyBorder="1" applyAlignment="1">
      <alignment horizontal="center" vertical="center" wrapText="1"/>
    </xf>
    <xf numFmtId="0" fontId="72" fillId="0" borderId="40" xfId="2" applyFont="1" applyBorder="1" applyAlignment="1">
      <alignment horizontal="center" vertical="center" wrapText="1"/>
    </xf>
    <xf numFmtId="0" fontId="69" fillId="0" borderId="7" xfId="2" quotePrefix="1" applyFont="1" applyBorder="1" applyAlignment="1">
      <alignment horizontal="left" vertical="center" wrapText="1"/>
    </xf>
    <xf numFmtId="0" fontId="69" fillId="0" borderId="0" xfId="2" quotePrefix="1" applyFont="1" applyAlignment="1">
      <alignment horizontal="left" vertical="center" wrapText="1"/>
    </xf>
    <xf numFmtId="0" fontId="69" fillId="0" borderId="8" xfId="2" quotePrefix="1" applyFont="1" applyBorder="1" applyAlignment="1">
      <alignment horizontal="left" vertical="center" wrapText="1"/>
    </xf>
    <xf numFmtId="0" fontId="69" fillId="0" borderId="58" xfId="2" quotePrefix="1" applyFont="1" applyBorder="1" applyAlignment="1">
      <alignment horizontal="left" vertical="center" wrapText="1"/>
    </xf>
    <xf numFmtId="0" fontId="69" fillId="0" borderId="59" xfId="2" quotePrefix="1" applyFont="1" applyBorder="1" applyAlignment="1">
      <alignment horizontal="left" vertical="center" wrapText="1"/>
    </xf>
    <xf numFmtId="0" fontId="69" fillId="0" borderId="60" xfId="2" quotePrefix="1" applyFont="1" applyBorder="1" applyAlignment="1">
      <alignment horizontal="left" vertical="center" wrapText="1"/>
    </xf>
    <xf numFmtId="0" fontId="71" fillId="2" borderId="41" xfId="2" quotePrefix="1" applyFont="1" applyFill="1" applyBorder="1" applyAlignment="1">
      <alignment horizontal="left" vertical="top" wrapText="1"/>
    </xf>
    <xf numFmtId="0" fontId="69" fillId="2" borderId="42" xfId="2" quotePrefix="1" applyFont="1" applyFill="1" applyBorder="1" applyAlignment="1">
      <alignment horizontal="left" vertical="top" wrapText="1"/>
    </xf>
    <xf numFmtId="0" fontId="69" fillId="2" borderId="43" xfId="2" quotePrefix="1" applyFont="1" applyFill="1" applyBorder="1" applyAlignment="1">
      <alignment horizontal="left" vertical="top" wrapText="1"/>
    </xf>
    <xf numFmtId="0" fontId="69" fillId="2" borderId="58" xfId="2" quotePrefix="1" applyFont="1" applyFill="1" applyBorder="1" applyAlignment="1">
      <alignment horizontal="justify" vertical="center" wrapText="1"/>
    </xf>
    <xf numFmtId="0" fontId="69" fillId="2" borderId="59" xfId="2" quotePrefix="1" applyFont="1" applyFill="1" applyBorder="1" applyAlignment="1">
      <alignment horizontal="justify" vertical="center" wrapText="1"/>
    </xf>
    <xf numFmtId="0" fontId="69" fillId="2" borderId="60" xfId="2" quotePrefix="1" applyFont="1" applyFill="1" applyBorder="1" applyAlignment="1">
      <alignment horizontal="justify" vertical="center" wrapText="1"/>
    </xf>
    <xf numFmtId="0" fontId="69" fillId="0" borderId="7" xfId="2" quotePrefix="1" applyFont="1" applyBorder="1" applyAlignment="1">
      <alignment horizontal="left" vertical="top" wrapText="1"/>
    </xf>
    <xf numFmtId="0" fontId="69" fillId="0" borderId="0" xfId="2" quotePrefix="1" applyFont="1" applyAlignment="1">
      <alignment horizontal="left" vertical="top" wrapText="1"/>
    </xf>
    <xf numFmtId="0" fontId="69" fillId="0" borderId="8" xfId="2" quotePrefix="1" applyFont="1" applyBorder="1" applyAlignment="1">
      <alignment horizontal="left" vertical="top" wrapText="1"/>
    </xf>
    <xf numFmtId="0" fontId="69" fillId="2" borderId="48" xfId="3" applyFont="1" applyFill="1" applyBorder="1" applyAlignment="1">
      <alignment horizontal="left" vertical="top" wrapText="1" readingOrder="1"/>
    </xf>
    <xf numFmtId="0" fontId="69" fillId="2" borderId="49" xfId="3" applyFont="1" applyFill="1" applyBorder="1" applyAlignment="1">
      <alignment horizontal="left" vertical="top" wrapText="1" readingOrder="1"/>
    </xf>
    <xf numFmtId="0" fontId="69" fillId="2" borderId="50" xfId="2" applyFont="1" applyFill="1" applyBorder="1" applyAlignment="1">
      <alignment horizontal="justify" vertical="center" wrapText="1"/>
    </xf>
    <xf numFmtId="0" fontId="69" fillId="2" borderId="51" xfId="2" applyFont="1" applyFill="1" applyBorder="1" applyAlignment="1">
      <alignment horizontal="justify" vertical="center" wrapText="1"/>
    </xf>
    <xf numFmtId="0" fontId="69" fillId="2" borderId="84" xfId="2" applyFont="1" applyFill="1" applyBorder="1" applyAlignment="1">
      <alignment horizontal="left" vertical="center" wrapText="1"/>
    </xf>
    <xf numFmtId="0" fontId="69" fillId="2" borderId="85" xfId="2" applyFont="1" applyFill="1" applyBorder="1" applyAlignment="1">
      <alignment horizontal="left" vertical="center" wrapText="1"/>
    </xf>
    <xf numFmtId="0" fontId="69" fillId="2" borderId="48" xfId="3" applyFont="1" applyFill="1" applyBorder="1" applyAlignment="1">
      <alignment vertical="center" wrapText="1" readingOrder="1"/>
    </xf>
    <xf numFmtId="0" fontId="69" fillId="2" borderId="49" xfId="3" applyFont="1" applyFill="1" applyBorder="1" applyAlignment="1">
      <alignment vertical="center" wrapText="1" readingOrder="1"/>
    </xf>
    <xf numFmtId="0" fontId="69" fillId="2" borderId="48" xfId="3" applyFont="1" applyFill="1" applyBorder="1" applyAlignment="1">
      <alignment horizontal="left" vertical="center" wrapText="1" readingOrder="1"/>
    </xf>
    <xf numFmtId="0" fontId="69" fillId="2" borderId="49" xfId="3" applyFont="1" applyFill="1" applyBorder="1" applyAlignment="1">
      <alignment horizontal="left" vertical="center" wrapText="1" readingOrder="1"/>
    </xf>
    <xf numFmtId="0" fontId="69" fillId="2" borderId="52" xfId="0" applyFont="1" applyFill="1" applyBorder="1" applyAlignment="1">
      <alignment horizontal="left" vertical="center" wrapText="1"/>
    </xf>
    <xf numFmtId="0" fontId="69" fillId="2" borderId="53" xfId="0" applyFont="1" applyFill="1" applyBorder="1" applyAlignment="1">
      <alignment horizontal="left" vertical="center" wrapText="1"/>
    </xf>
    <xf numFmtId="0" fontId="69" fillId="2" borderId="54" xfId="2" applyFont="1" applyFill="1" applyBorder="1" applyAlignment="1">
      <alignment horizontal="justify" vertical="center" wrapText="1"/>
    </xf>
    <xf numFmtId="0" fontId="69" fillId="2" borderId="55" xfId="2" applyFont="1" applyFill="1" applyBorder="1" applyAlignment="1">
      <alignment horizontal="justify" vertical="center" wrapText="1"/>
    </xf>
    <xf numFmtId="0" fontId="69" fillId="2" borderId="61" xfId="0" applyFont="1" applyFill="1" applyBorder="1" applyAlignment="1">
      <alignment horizontal="left" vertical="center" wrapText="1"/>
    </xf>
    <xf numFmtId="0" fontId="69" fillId="2" borderId="62" xfId="0" applyFont="1" applyFill="1" applyBorder="1" applyAlignment="1">
      <alignment horizontal="left" vertical="center" wrapText="1"/>
    </xf>
    <xf numFmtId="0" fontId="69" fillId="2" borderId="63" xfId="0" applyFont="1" applyFill="1" applyBorder="1" applyAlignment="1">
      <alignment horizontal="left" vertical="center" wrapText="1"/>
    </xf>
    <xf numFmtId="0" fontId="69" fillId="2" borderId="64" xfId="0" applyFont="1" applyFill="1" applyBorder="1" applyAlignment="1">
      <alignment horizontal="left" vertical="center" wrapText="1"/>
    </xf>
    <xf numFmtId="0" fontId="69" fillId="2" borderId="56" xfId="0" applyFont="1" applyFill="1" applyBorder="1" applyAlignment="1">
      <alignment horizontal="justify" vertical="center" wrapText="1"/>
    </xf>
    <xf numFmtId="0" fontId="69" fillId="2" borderId="57" xfId="0" applyFont="1" applyFill="1" applyBorder="1" applyAlignment="1">
      <alignment horizontal="justify" vertical="center" wrapText="1"/>
    </xf>
    <xf numFmtId="0" fontId="68" fillId="18" borderId="0" xfId="0" applyFont="1" applyFill="1" applyAlignment="1">
      <alignment horizontal="left" vertical="top" wrapText="1"/>
    </xf>
    <xf numFmtId="0" fontId="69" fillId="2" borderId="7" xfId="2" applyFont="1" applyFill="1" applyBorder="1" applyAlignment="1">
      <alignment horizontal="left" vertical="top" wrapText="1"/>
    </xf>
    <xf numFmtId="0" fontId="69" fillId="2" borderId="0" xfId="2" applyFont="1" applyFill="1" applyAlignment="1">
      <alignment horizontal="left" vertical="top" wrapText="1"/>
    </xf>
    <xf numFmtId="0" fontId="69" fillId="2" borderId="8" xfId="2" applyFont="1" applyFill="1" applyBorder="1" applyAlignment="1">
      <alignment horizontal="left" vertical="top" wrapText="1"/>
    </xf>
    <xf numFmtId="0" fontId="52" fillId="2" borderId="54" xfId="2" applyFont="1" applyFill="1" applyBorder="1" applyAlignment="1">
      <alignment horizontal="justify" vertical="center" wrapText="1"/>
    </xf>
    <xf numFmtId="0" fontId="52" fillId="2" borderId="55" xfId="2" applyFont="1" applyFill="1" applyBorder="1" applyAlignment="1">
      <alignment horizontal="justify" vertical="center" wrapText="1"/>
    </xf>
    <xf numFmtId="0" fontId="51" fillId="2" borderId="61" xfId="0" applyFont="1" applyFill="1" applyBorder="1" applyAlignment="1">
      <alignment horizontal="left" vertical="center" wrapText="1"/>
    </xf>
    <xf numFmtId="0" fontId="51" fillId="2" borderId="62" xfId="0" applyFont="1" applyFill="1" applyBorder="1" applyAlignment="1">
      <alignment horizontal="left" vertical="center" wrapText="1"/>
    </xf>
    <xf numFmtId="0" fontId="51" fillId="2" borderId="48" xfId="3" applyFont="1" applyFill="1" applyBorder="1" applyAlignment="1">
      <alignment horizontal="left" vertical="top" wrapText="1" readingOrder="1"/>
    </xf>
    <xf numFmtId="0" fontId="51" fillId="2" borderId="49" xfId="3" applyFont="1" applyFill="1" applyBorder="1" applyAlignment="1">
      <alignment horizontal="left" vertical="top" wrapText="1" readingOrder="1"/>
    </xf>
    <xf numFmtId="0" fontId="52" fillId="2" borderId="50" xfId="2" applyFont="1" applyFill="1" applyBorder="1" applyAlignment="1">
      <alignment horizontal="justify" vertical="center" wrapText="1"/>
    </xf>
    <xf numFmtId="0" fontId="52" fillId="2" borderId="51" xfId="2" applyFont="1" applyFill="1" applyBorder="1" applyAlignment="1">
      <alignment horizontal="justify" vertical="center" wrapText="1"/>
    </xf>
    <xf numFmtId="0" fontId="51" fillId="2" borderId="52" xfId="0" applyFont="1" applyFill="1" applyBorder="1" applyAlignment="1">
      <alignment horizontal="left" vertical="center" wrapText="1"/>
    </xf>
    <xf numFmtId="0" fontId="51" fillId="2" borderId="53" xfId="0" applyFont="1" applyFill="1" applyBorder="1" applyAlignment="1">
      <alignment horizontal="left" vertical="center" wrapText="1"/>
    </xf>
    <xf numFmtId="0" fontId="46" fillId="2" borderId="7" xfId="2" applyFont="1" applyFill="1" applyBorder="1" applyAlignment="1">
      <alignment horizontal="left" vertical="top" wrapText="1"/>
    </xf>
    <xf numFmtId="0" fontId="46" fillId="2" borderId="0" xfId="2" applyFont="1" applyFill="1" applyAlignment="1">
      <alignment horizontal="left" vertical="top" wrapText="1"/>
    </xf>
    <xf numFmtId="0" fontId="46" fillId="2" borderId="8" xfId="2" applyFont="1" applyFill="1" applyBorder="1" applyAlignment="1">
      <alignment horizontal="left" vertical="top" wrapText="1"/>
    </xf>
    <xf numFmtId="0" fontId="51" fillId="2" borderId="63" xfId="0" applyFont="1" applyFill="1" applyBorder="1" applyAlignment="1">
      <alignment horizontal="left" vertical="center" wrapText="1"/>
    </xf>
    <xf numFmtId="0" fontId="51" fillId="2" borderId="64" xfId="0" applyFont="1" applyFill="1" applyBorder="1" applyAlignment="1">
      <alignment horizontal="left" vertical="center" wrapText="1"/>
    </xf>
    <xf numFmtId="0" fontId="52" fillId="2" borderId="56" xfId="0" applyFont="1" applyFill="1" applyBorder="1" applyAlignment="1">
      <alignment horizontal="justify" vertical="center" wrapText="1"/>
    </xf>
    <xf numFmtId="0" fontId="52" fillId="2" borderId="57" xfId="0" applyFont="1" applyFill="1" applyBorder="1" applyAlignment="1">
      <alignment horizontal="justify" vertical="center" wrapText="1"/>
    </xf>
    <xf numFmtId="0" fontId="47" fillId="13" borderId="38" xfId="2" applyFont="1" applyFill="1" applyBorder="1" applyAlignment="1">
      <alignment horizontal="center" vertical="center" wrapText="1"/>
    </xf>
    <xf numFmtId="0" fontId="47" fillId="13" borderId="39" xfId="2" applyFont="1" applyFill="1" applyBorder="1" applyAlignment="1">
      <alignment horizontal="center" vertical="center" wrapText="1"/>
    </xf>
    <xf numFmtId="0" fontId="47" fillId="13" borderId="40" xfId="2" applyFont="1" applyFill="1" applyBorder="1" applyAlignment="1">
      <alignment horizontal="center" vertical="center" wrapText="1"/>
    </xf>
    <xf numFmtId="0" fontId="46" fillId="0" borderId="7" xfId="2" quotePrefix="1" applyFont="1" applyBorder="1" applyAlignment="1">
      <alignment horizontal="left" vertical="center" wrapText="1"/>
    </xf>
    <xf numFmtId="0" fontId="46" fillId="0" borderId="0" xfId="2" quotePrefix="1" applyFont="1" applyAlignment="1">
      <alignment horizontal="left" vertical="center" wrapText="1"/>
    </xf>
    <xf numFmtId="0" fontId="46" fillId="0" borderId="8" xfId="2" quotePrefix="1" applyFont="1" applyBorder="1" applyAlignment="1">
      <alignment horizontal="left" vertical="center" wrapText="1"/>
    </xf>
    <xf numFmtId="0" fontId="46" fillId="0" borderId="58" xfId="2" quotePrefix="1" applyFont="1" applyBorder="1" applyAlignment="1">
      <alignment horizontal="left" vertical="center" wrapText="1"/>
    </xf>
    <xf numFmtId="0" fontId="46" fillId="0" borderId="59" xfId="2" quotePrefix="1" applyFont="1" applyBorder="1" applyAlignment="1">
      <alignment horizontal="left" vertical="center" wrapText="1"/>
    </xf>
    <xf numFmtId="0" fontId="46" fillId="0" borderId="60" xfId="2" quotePrefix="1" applyFont="1" applyBorder="1" applyAlignment="1">
      <alignment horizontal="left" vertical="center" wrapText="1"/>
    </xf>
    <xf numFmtId="0" fontId="48" fillId="2" borderId="41" xfId="2" quotePrefix="1" applyFont="1" applyFill="1" applyBorder="1" applyAlignment="1">
      <alignment horizontal="left" vertical="top" wrapText="1"/>
    </xf>
    <xf numFmtId="0" fontId="49" fillId="2" borderId="42" xfId="2" quotePrefix="1" applyFont="1" applyFill="1" applyBorder="1" applyAlignment="1">
      <alignment horizontal="left" vertical="top" wrapText="1"/>
    </xf>
    <xf numFmtId="0" fontId="49" fillId="2" borderId="43" xfId="2" quotePrefix="1" applyFont="1" applyFill="1" applyBorder="1" applyAlignment="1">
      <alignment horizontal="left" vertical="top" wrapText="1"/>
    </xf>
    <xf numFmtId="0" fontId="46" fillId="0" borderId="7" xfId="2" quotePrefix="1" applyFont="1" applyBorder="1" applyAlignment="1">
      <alignment horizontal="left" vertical="top" wrapText="1"/>
    </xf>
    <xf numFmtId="0" fontId="46" fillId="0" borderId="0" xfId="2" quotePrefix="1" applyFont="1" applyAlignment="1">
      <alignment horizontal="left" vertical="top" wrapText="1"/>
    </xf>
    <xf numFmtId="0" fontId="46" fillId="0" borderId="8" xfId="2" quotePrefix="1" applyFont="1" applyBorder="1" applyAlignment="1">
      <alignment horizontal="left" vertical="top" wrapText="1"/>
    </xf>
    <xf numFmtId="0" fontId="51" fillId="13" borderId="44" xfId="3" applyFont="1" applyFill="1" applyBorder="1" applyAlignment="1">
      <alignment horizontal="center" vertical="center" wrapText="1"/>
    </xf>
    <xf numFmtId="0" fontId="51" fillId="13" borderId="45" xfId="3" applyFont="1" applyFill="1" applyBorder="1" applyAlignment="1">
      <alignment horizontal="center" vertical="center" wrapText="1"/>
    </xf>
    <xf numFmtId="0" fontId="51" fillId="13" borderId="46" xfId="2" applyFont="1" applyFill="1" applyBorder="1" applyAlignment="1">
      <alignment horizontal="center" vertical="center"/>
    </xf>
    <xf numFmtId="0" fontId="51" fillId="13" borderId="47" xfId="2" applyFont="1" applyFill="1" applyBorder="1" applyAlignment="1">
      <alignment horizontal="center" vertical="center"/>
    </xf>
    <xf numFmtId="0" fontId="1" fillId="2" borderId="58" xfId="2" quotePrefix="1" applyFont="1" applyFill="1" applyBorder="1" applyAlignment="1">
      <alignment horizontal="justify" vertical="center" wrapText="1"/>
    </xf>
    <xf numFmtId="0" fontId="1" fillId="2" borderId="59" xfId="2" quotePrefix="1" applyFont="1" applyFill="1" applyBorder="1" applyAlignment="1">
      <alignment horizontal="justify" vertical="center" wrapText="1"/>
    </xf>
    <xf numFmtId="0" fontId="1" fillId="2" borderId="60" xfId="2" quotePrefix="1" applyFont="1" applyFill="1" applyBorder="1" applyAlignment="1">
      <alignment horizontal="justify" vertical="center" wrapText="1"/>
    </xf>
    <xf numFmtId="0" fontId="68" fillId="2" borderId="91" xfId="0" applyFont="1" applyFill="1" applyBorder="1" applyAlignment="1">
      <alignment horizontal="center"/>
    </xf>
    <xf numFmtId="0" fontId="68" fillId="2" borderId="91" xfId="0" applyFont="1" applyFill="1" applyBorder="1" applyAlignment="1">
      <alignment horizontal="justify" vertical="center"/>
    </xf>
    <xf numFmtId="49" fontId="68" fillId="0" borderId="68" xfId="0" applyNumberFormat="1" applyFont="1" applyBorder="1" applyAlignment="1" applyProtection="1">
      <alignment horizontal="justify" vertical="center" wrapText="1"/>
      <protection locked="0"/>
    </xf>
    <xf numFmtId="49" fontId="68" fillId="0" borderId="70" xfId="0" applyNumberFormat="1" applyFont="1" applyBorder="1" applyAlignment="1" applyProtection="1">
      <alignment horizontal="justify" vertical="center" wrapText="1"/>
      <protection locked="0"/>
    </xf>
    <xf numFmtId="49" fontId="68" fillId="0" borderId="69" xfId="0" applyNumberFormat="1" applyFont="1" applyBorder="1" applyAlignment="1" applyProtection="1">
      <alignment horizontal="justify" vertical="center" wrapText="1"/>
      <protection locked="0"/>
    </xf>
    <xf numFmtId="0" fontId="68" fillId="0" borderId="86" xfId="0" applyFont="1" applyBorder="1" applyAlignment="1" applyProtection="1">
      <alignment horizontal="center" vertical="top"/>
      <protection locked="0"/>
    </xf>
    <xf numFmtId="0" fontId="68" fillId="0" borderId="87" xfId="0" applyFont="1" applyBorder="1" applyAlignment="1" applyProtection="1">
      <alignment horizontal="center" vertical="top"/>
      <protection locked="0"/>
    </xf>
    <xf numFmtId="0" fontId="68" fillId="0" borderId="88" xfId="0" applyFont="1" applyBorder="1" applyAlignment="1" applyProtection="1">
      <alignment horizontal="center" vertical="top"/>
      <protection locked="0"/>
    </xf>
    <xf numFmtId="0" fontId="68" fillId="0" borderId="68" xfId="0" applyFont="1" applyBorder="1" applyAlignment="1" applyProtection="1">
      <alignment horizontal="center" vertical="top"/>
      <protection locked="0"/>
    </xf>
    <xf numFmtId="0" fontId="68" fillId="0" borderId="70" xfId="0" applyFont="1" applyBorder="1" applyAlignment="1" applyProtection="1">
      <alignment horizontal="center" vertical="top"/>
      <protection locked="0"/>
    </xf>
    <xf numFmtId="0" fontId="68" fillId="0" borderId="69" xfId="0" applyFont="1" applyBorder="1" applyAlignment="1" applyProtection="1">
      <alignment horizontal="center" vertical="top"/>
      <protection locked="0"/>
    </xf>
    <xf numFmtId="0" fontId="68" fillId="0" borderId="99" xfId="0" applyFont="1" applyBorder="1" applyAlignment="1" applyProtection="1">
      <alignment horizontal="center" vertical="center" wrapText="1"/>
      <protection locked="0"/>
    </xf>
    <xf numFmtId="0" fontId="68" fillId="0" borderId="100" xfId="0" applyFont="1" applyBorder="1" applyAlignment="1" applyProtection="1">
      <alignment horizontal="center" vertical="center" wrapText="1"/>
      <protection locked="0"/>
    </xf>
    <xf numFmtId="0" fontId="68" fillId="0" borderId="101" xfId="0" applyFont="1" applyBorder="1" applyAlignment="1" applyProtection="1">
      <alignment horizontal="center" vertical="center" wrapText="1"/>
      <protection locked="0"/>
    </xf>
    <xf numFmtId="0" fontId="68" fillId="0" borderId="103" xfId="0" applyFont="1" applyBorder="1" applyAlignment="1" applyProtection="1">
      <alignment horizontal="center" vertical="center"/>
      <protection locked="0"/>
    </xf>
    <xf numFmtId="0" fontId="68" fillId="0" borderId="87" xfId="0" applyFont="1" applyBorder="1" applyAlignment="1" applyProtection="1">
      <alignment horizontal="center" vertical="center"/>
      <protection locked="0"/>
    </xf>
    <xf numFmtId="0" fontId="68" fillId="0" borderId="88" xfId="0" applyFont="1" applyBorder="1" applyAlignment="1" applyProtection="1">
      <alignment horizontal="center" vertical="center"/>
      <protection locked="0"/>
    </xf>
    <xf numFmtId="0" fontId="68" fillId="0" borderId="102" xfId="0" applyFont="1" applyBorder="1" applyAlignment="1" applyProtection="1">
      <alignment horizontal="center" vertical="center" wrapText="1"/>
      <protection locked="0"/>
    </xf>
    <xf numFmtId="0" fontId="68" fillId="0" borderId="86" xfId="0" applyFont="1" applyBorder="1" applyAlignment="1" applyProtection="1">
      <alignment horizontal="center" vertical="center"/>
      <protection locked="0"/>
    </xf>
    <xf numFmtId="14" fontId="68" fillId="0" borderId="91" xfId="0" applyNumberFormat="1" applyFont="1" applyBorder="1" applyAlignment="1" applyProtection="1">
      <alignment horizontal="center" vertical="center"/>
      <protection locked="0"/>
    </xf>
    <xf numFmtId="14" fontId="68" fillId="0" borderId="91" xfId="0" applyNumberFormat="1" applyFont="1" applyBorder="1" applyAlignment="1" applyProtection="1">
      <alignment horizontal="center" vertical="center" wrapText="1"/>
      <protection locked="0"/>
    </xf>
    <xf numFmtId="14" fontId="68" fillId="0" borderId="89" xfId="0" applyNumberFormat="1" applyFont="1" applyBorder="1" applyAlignment="1" applyProtection="1">
      <alignment horizontal="center" vertical="center"/>
      <protection locked="0"/>
    </xf>
    <xf numFmtId="14" fontId="68" fillId="0" borderId="0" xfId="0" applyNumberFormat="1" applyFont="1" applyAlignment="1" applyProtection="1">
      <alignment horizontal="center" vertical="center"/>
      <protection locked="0"/>
    </xf>
    <xf numFmtId="14" fontId="68" fillId="0" borderId="90" xfId="0" applyNumberFormat="1" applyFont="1" applyBorder="1" applyAlignment="1" applyProtection="1">
      <alignment horizontal="center" vertical="center"/>
      <protection locked="0"/>
    </xf>
    <xf numFmtId="14" fontId="68" fillId="0" borderId="68" xfId="0" applyNumberFormat="1" applyFont="1" applyBorder="1" applyAlignment="1" applyProtection="1">
      <alignment horizontal="center" vertical="center"/>
      <protection locked="0"/>
    </xf>
    <xf numFmtId="14" fontId="68" fillId="0" borderId="70" xfId="0" applyNumberFormat="1" applyFont="1" applyBorder="1" applyAlignment="1" applyProtection="1">
      <alignment horizontal="center" vertical="center"/>
      <protection locked="0"/>
    </xf>
    <xf numFmtId="14" fontId="68" fillId="0" borderId="69" xfId="0" applyNumberFormat="1" applyFont="1" applyBorder="1" applyAlignment="1" applyProtection="1">
      <alignment horizontal="center" vertical="center"/>
      <protection locked="0"/>
    </xf>
    <xf numFmtId="0" fontId="69" fillId="0" borderId="68" xfId="0" applyFont="1" applyBorder="1" applyAlignment="1" applyProtection="1">
      <alignment horizontal="center" vertical="top" wrapText="1"/>
      <protection locked="0"/>
    </xf>
    <xf numFmtId="0" fontId="69" fillId="0" borderId="70" xfId="0" applyFont="1" applyBorder="1" applyAlignment="1" applyProtection="1">
      <alignment horizontal="center" vertical="top" wrapText="1"/>
      <protection locked="0"/>
    </xf>
    <xf numFmtId="0" fontId="69" fillId="0" borderId="69" xfId="0" applyFont="1" applyBorder="1" applyAlignment="1" applyProtection="1">
      <alignment horizontal="center" vertical="top" wrapText="1"/>
      <protection locked="0"/>
    </xf>
    <xf numFmtId="0" fontId="68" fillId="0" borderId="91" xfId="0" applyFont="1" applyBorder="1" applyAlignment="1" applyProtection="1">
      <alignment horizontal="center" vertical="center" wrapText="1"/>
      <protection locked="0"/>
    </xf>
    <xf numFmtId="9" fontId="68" fillId="0" borderId="67" xfId="0" applyNumberFormat="1" applyFont="1" applyBorder="1" applyAlignment="1" applyProtection="1">
      <alignment horizontal="center" vertical="top" wrapText="1"/>
      <protection hidden="1"/>
    </xf>
    <xf numFmtId="0" fontId="64" fillId="0" borderId="67" xfId="0" applyFont="1" applyBorder="1" applyAlignment="1" applyProtection="1">
      <alignment horizontal="center" vertical="top" wrapText="1"/>
      <protection hidden="1"/>
    </xf>
    <xf numFmtId="0" fontId="68" fillId="0" borderId="67" xfId="0" applyFont="1" applyBorder="1" applyAlignment="1" applyProtection="1">
      <alignment horizontal="center" vertical="center" wrapText="1"/>
      <protection locked="0"/>
    </xf>
    <xf numFmtId="0" fontId="68" fillId="0" borderId="67" xfId="0" applyFont="1" applyBorder="1" applyAlignment="1" applyProtection="1">
      <alignment horizontal="center" vertical="top"/>
      <protection locked="0"/>
    </xf>
    <xf numFmtId="0" fontId="64" fillId="0" borderId="67" xfId="0" applyFont="1" applyBorder="1" applyAlignment="1" applyProtection="1">
      <alignment horizontal="center" vertical="top"/>
      <protection hidden="1"/>
    </xf>
    <xf numFmtId="9" fontId="68" fillId="0" borderId="67" xfId="0" applyNumberFormat="1" applyFont="1" applyBorder="1" applyAlignment="1" applyProtection="1">
      <alignment horizontal="center" vertical="top" wrapText="1"/>
      <protection locked="0"/>
    </xf>
    <xf numFmtId="0" fontId="68" fillId="0" borderId="68" xfId="0" applyFont="1" applyBorder="1" applyAlignment="1" applyProtection="1">
      <alignment horizontal="center" vertical="top" wrapText="1"/>
      <protection locked="0"/>
    </xf>
    <xf numFmtId="0" fontId="68" fillId="0" borderId="70" xfId="0" applyFont="1" applyBorder="1" applyAlignment="1" applyProtection="1">
      <alignment horizontal="center" vertical="top" wrapText="1"/>
      <protection locked="0"/>
    </xf>
    <xf numFmtId="0" fontId="68" fillId="0" borderId="69" xfId="0" applyFont="1" applyBorder="1" applyAlignment="1" applyProtection="1">
      <alignment horizontal="center" vertical="top" wrapText="1"/>
      <protection locked="0"/>
    </xf>
    <xf numFmtId="0" fontId="68" fillId="0" borderId="65" xfId="0" applyFont="1" applyBorder="1" applyAlignment="1" applyProtection="1">
      <alignment horizontal="center" vertical="center" textRotation="90" wrapText="1"/>
      <protection locked="0"/>
    </xf>
    <xf numFmtId="9" fontId="68" fillId="0" borderId="67" xfId="0" applyNumberFormat="1" applyFont="1" applyBorder="1" applyAlignment="1" applyProtection="1">
      <alignment horizontal="center" vertical="center" wrapText="1"/>
      <protection hidden="1"/>
    </xf>
    <xf numFmtId="0" fontId="69" fillId="0" borderId="67" xfId="0" applyFont="1" applyBorder="1" applyAlignment="1" applyProtection="1">
      <alignment horizontal="center" vertical="top" wrapText="1"/>
      <protection locked="0"/>
    </xf>
    <xf numFmtId="0" fontId="64" fillId="0" borderId="67" xfId="0" applyFont="1" applyBorder="1" applyAlignment="1" applyProtection="1">
      <alignment horizontal="center" vertical="center"/>
      <protection hidden="1"/>
    </xf>
    <xf numFmtId="49" fontId="68" fillId="0" borderId="67" xfId="0" applyNumberFormat="1" applyFont="1" applyBorder="1" applyAlignment="1" applyProtection="1">
      <alignment horizontal="justify" vertical="center" wrapText="1"/>
      <protection locked="0"/>
    </xf>
    <xf numFmtId="0" fontId="68" fillId="0" borderId="68" xfId="0" applyFont="1" applyBorder="1" applyAlignment="1" applyProtection="1">
      <alignment horizontal="justify" vertical="center" wrapText="1"/>
      <protection locked="0"/>
    </xf>
    <xf numFmtId="0" fontId="68" fillId="0" borderId="70" xfId="0" applyFont="1" applyBorder="1" applyAlignment="1" applyProtection="1">
      <alignment horizontal="justify" vertical="center" wrapText="1"/>
      <protection locked="0"/>
    </xf>
    <xf numFmtId="0" fontId="68" fillId="0" borderId="69" xfId="0" applyFont="1" applyBorder="1" applyAlignment="1" applyProtection="1">
      <alignment horizontal="justify" vertical="center" wrapText="1"/>
      <protection locked="0"/>
    </xf>
    <xf numFmtId="0" fontId="68" fillId="0" borderId="68" xfId="0" applyFont="1" applyBorder="1" applyAlignment="1" applyProtection="1">
      <alignment horizontal="center" vertical="center" wrapText="1"/>
      <protection locked="0"/>
    </xf>
    <xf numFmtId="0" fontId="68" fillId="0" borderId="70" xfId="0" applyFont="1" applyBorder="1" applyAlignment="1" applyProtection="1">
      <alignment horizontal="center" vertical="center" wrapText="1"/>
      <protection locked="0"/>
    </xf>
    <xf numFmtId="0" fontId="68" fillId="0" borderId="69" xfId="0" applyFont="1" applyBorder="1" applyAlignment="1" applyProtection="1">
      <alignment horizontal="center" vertical="center" wrapText="1"/>
      <protection locked="0"/>
    </xf>
    <xf numFmtId="0" fontId="55" fillId="0" borderId="107" xfId="5" applyFont="1" applyBorder="1" applyAlignment="1">
      <alignment horizontal="center" vertical="center"/>
    </xf>
    <xf numFmtId="0" fontId="68" fillId="0" borderId="68" xfId="0" applyFont="1" applyBorder="1" applyAlignment="1">
      <alignment horizontal="center" vertical="center" wrapText="1"/>
    </xf>
    <xf numFmtId="0" fontId="68" fillId="0" borderId="69" xfId="0" applyFont="1" applyBorder="1" applyAlignment="1">
      <alignment horizontal="center" vertical="center" wrapText="1"/>
    </xf>
    <xf numFmtId="0" fontId="68" fillId="0" borderId="67" xfId="0" applyFont="1" applyBorder="1" applyAlignment="1">
      <alignment horizontal="center" vertical="center"/>
    </xf>
    <xf numFmtId="0" fontId="68" fillId="2" borderId="67" xfId="0" applyFont="1" applyFill="1" applyBorder="1" applyAlignment="1" applyProtection="1">
      <alignment horizontal="left" vertical="center"/>
      <protection locked="0"/>
    </xf>
    <xf numFmtId="0" fontId="68" fillId="2" borderId="0" xfId="0" applyFont="1" applyFill="1" applyAlignment="1">
      <alignment horizontal="left" vertical="center"/>
    </xf>
    <xf numFmtId="0" fontId="57" fillId="0" borderId="0" xfId="0" applyFont="1" applyAlignment="1">
      <alignment horizontal="center" vertical="center"/>
    </xf>
    <xf numFmtId="0" fontId="64" fillId="0" borderId="67" xfId="0" applyFont="1" applyBorder="1" applyAlignment="1">
      <alignment horizontal="center" vertical="center"/>
    </xf>
    <xf numFmtId="0" fontId="68" fillId="0" borderId="67" xfId="0" applyFont="1" applyBorder="1" applyAlignment="1">
      <alignment horizontal="left" vertical="center"/>
    </xf>
    <xf numFmtId="0" fontId="68" fillId="0" borderId="68" xfId="0" applyFont="1" applyBorder="1" applyAlignment="1">
      <alignment horizontal="left" vertical="center"/>
    </xf>
    <xf numFmtId="0" fontId="68" fillId="2" borderId="68" xfId="0" applyFont="1" applyFill="1" applyBorder="1" applyAlignment="1" applyProtection="1">
      <alignment horizontal="left" vertical="center" wrapText="1"/>
      <protection locked="0"/>
    </xf>
    <xf numFmtId="0" fontId="68" fillId="0" borderId="67" xfId="0" applyFont="1" applyBorder="1" applyAlignment="1">
      <alignment horizontal="center" vertical="center" textRotation="90" wrapText="1"/>
    </xf>
    <xf numFmtId="0" fontId="68" fillId="0" borderId="92" xfId="0" applyFont="1" applyBorder="1" applyAlignment="1">
      <alignment horizontal="center" vertical="center" wrapText="1"/>
    </xf>
    <xf numFmtId="0" fontId="68" fillId="0" borderId="86"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67" xfId="0" applyFont="1" applyBorder="1" applyAlignment="1">
      <alignment horizontal="center" vertical="center" textRotation="90"/>
    </xf>
    <xf numFmtId="0" fontId="56" fillId="0" borderId="2" xfId="0" applyFont="1" applyBorder="1" applyAlignment="1">
      <alignment horizontal="left" vertical="center" wrapText="1"/>
    </xf>
    <xf numFmtId="0" fontId="56" fillId="0" borderId="21" xfId="0" applyFont="1" applyBorder="1" applyAlignment="1">
      <alignment horizontal="left" vertical="center" wrapText="1"/>
    </xf>
    <xf numFmtId="0" fontId="56" fillId="0" borderId="22" xfId="0" applyFont="1" applyBorder="1" applyAlignment="1">
      <alignment horizontal="left" vertical="center" wrapText="1"/>
    </xf>
    <xf numFmtId="0" fontId="68" fillId="0" borderId="67" xfId="0" applyFont="1" applyBorder="1" applyAlignment="1" applyProtection="1">
      <alignment horizontal="center" vertical="top" wrapText="1"/>
      <protection locked="0"/>
    </xf>
    <xf numFmtId="0" fontId="68" fillId="0" borderId="67" xfId="0" applyFont="1" applyBorder="1" applyAlignment="1" applyProtection="1">
      <alignment horizontal="center" vertical="center"/>
      <protection locked="0"/>
    </xf>
    <xf numFmtId="0" fontId="64" fillId="0" borderId="67" xfId="0" applyFont="1" applyBorder="1" applyAlignment="1" applyProtection="1">
      <alignment horizontal="center" vertical="center" wrapText="1"/>
      <protection hidden="1"/>
    </xf>
    <xf numFmtId="9" fontId="68" fillId="0" borderId="67" xfId="0" applyNumberFormat="1" applyFont="1" applyBorder="1" applyAlignment="1" applyProtection="1">
      <alignment horizontal="center" vertical="center" wrapText="1"/>
      <protection locked="0"/>
    </xf>
    <xf numFmtId="0" fontId="68" fillId="0" borderId="67" xfId="0" applyFont="1" applyBorder="1" applyAlignment="1" applyProtection="1">
      <alignment horizontal="justify" vertical="center" wrapText="1"/>
      <protection locked="0"/>
    </xf>
    <xf numFmtId="0" fontId="68" fillId="0" borderId="94" xfId="0" applyFont="1" applyBorder="1" applyAlignment="1" applyProtection="1">
      <alignment horizontal="justify" vertical="center" wrapText="1"/>
      <protection locked="0"/>
    </xf>
    <xf numFmtId="0" fontId="68" fillId="0" borderId="95" xfId="0" applyFont="1" applyBorder="1" applyAlignment="1" applyProtection="1">
      <alignment horizontal="justify" vertical="center" wrapText="1"/>
      <protection locked="0"/>
    </xf>
    <xf numFmtId="0" fontId="68" fillId="0" borderId="96" xfId="0" applyFont="1" applyBorder="1" applyAlignment="1" applyProtection="1">
      <alignment horizontal="justify" vertical="center" wrapText="1"/>
      <protection locked="0"/>
    </xf>
    <xf numFmtId="14" fontId="68" fillId="0" borderId="93" xfId="0" applyNumberFormat="1" applyFont="1" applyBorder="1" applyAlignment="1" applyProtection="1">
      <alignment horizontal="center" vertical="center" wrapText="1"/>
      <protection locked="0"/>
    </xf>
    <xf numFmtId="14" fontId="68" fillId="0" borderId="97" xfId="0" applyNumberFormat="1" applyFont="1" applyBorder="1" applyAlignment="1" applyProtection="1">
      <alignment horizontal="center" vertical="center" wrapText="1"/>
      <protection locked="0"/>
    </xf>
    <xf numFmtId="14" fontId="68" fillId="0" borderId="98" xfId="0" applyNumberFormat="1" applyFont="1" applyBorder="1" applyAlignment="1" applyProtection="1">
      <alignment horizontal="center" vertical="center" wrapText="1"/>
      <protection locked="0"/>
    </xf>
    <xf numFmtId="0" fontId="68" fillId="0" borderId="104" xfId="0" applyFont="1" applyBorder="1" applyAlignment="1" applyProtection="1">
      <alignment horizontal="center" vertical="center"/>
      <protection locked="0"/>
    </xf>
    <xf numFmtId="0" fontId="68" fillId="0" borderId="105" xfId="0" applyFont="1" applyBorder="1" applyAlignment="1" applyProtection="1">
      <alignment horizontal="center" vertical="center"/>
      <protection locked="0"/>
    </xf>
    <xf numFmtId="0" fontId="68" fillId="0" borderId="106" xfId="0" applyFont="1" applyBorder="1" applyAlignment="1" applyProtection="1">
      <alignment horizontal="center" vertical="center"/>
      <protection locked="0"/>
    </xf>
    <xf numFmtId="0" fontId="68" fillId="0" borderId="91" xfId="0" applyFont="1" applyBorder="1" applyAlignment="1">
      <alignment horizontal="center" vertical="center"/>
    </xf>
    <xf numFmtId="0" fontId="55" fillId="0" borderId="0" xfId="5" applyFont="1" applyAlignment="1">
      <alignment horizontal="left" vertical="center"/>
    </xf>
    <xf numFmtId="0" fontId="55" fillId="0" borderId="107" xfId="5" applyFont="1" applyBorder="1" applyAlignment="1">
      <alignment horizontal="center" vertical="center" wrapText="1"/>
    </xf>
    <xf numFmtId="0" fontId="73" fillId="0" borderId="107" xfId="5" applyFont="1" applyBorder="1" applyAlignment="1">
      <alignment horizontal="left" vertical="center" wrapText="1"/>
    </xf>
    <xf numFmtId="0" fontId="16" fillId="9" borderId="0" xfId="0" applyFont="1" applyFill="1" applyAlignment="1">
      <alignment horizontal="center" vertical="center" textRotation="90" wrapText="1" readingOrder="1"/>
    </xf>
    <xf numFmtId="0" fontId="16" fillId="9" borderId="8" xfId="0" applyFont="1" applyFill="1" applyBorder="1" applyAlignment="1">
      <alignment horizontal="center" vertical="center" textRotation="90"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0" borderId="13" xfId="0" applyFont="1" applyFill="1" applyBorder="1" applyAlignment="1">
      <alignment horizontal="center" vertical="center" wrapText="1" readingOrder="1"/>
    </xf>
    <xf numFmtId="0" fontId="19" fillId="10" borderId="14" xfId="0" applyFont="1" applyFill="1" applyBorder="1" applyAlignment="1">
      <alignment horizontal="center" vertical="center" wrapText="1" readingOrder="1"/>
    </xf>
    <xf numFmtId="0" fontId="19" fillId="10" borderId="15" xfId="0" applyFont="1" applyFill="1" applyBorder="1" applyAlignment="1">
      <alignment horizontal="center" vertical="center" wrapText="1" readingOrder="1"/>
    </xf>
    <xf numFmtId="0" fontId="19" fillId="10" borderId="16" xfId="0" applyFont="1" applyFill="1" applyBorder="1" applyAlignment="1">
      <alignment horizontal="center" vertical="center" wrapText="1" readingOrder="1"/>
    </xf>
    <xf numFmtId="0" fontId="19" fillId="10" borderId="0" xfId="0" applyFont="1" applyFill="1" applyAlignment="1">
      <alignment horizontal="center" vertical="center" wrapText="1" readingOrder="1"/>
    </xf>
    <xf numFmtId="0" fontId="19" fillId="10" borderId="17" xfId="0" applyFont="1" applyFill="1" applyBorder="1" applyAlignment="1">
      <alignment horizontal="center" vertical="center" wrapText="1" readingOrder="1"/>
    </xf>
    <xf numFmtId="0" fontId="19" fillId="10" borderId="18" xfId="0" applyFont="1" applyFill="1" applyBorder="1" applyAlignment="1">
      <alignment horizontal="center" vertical="center" wrapText="1" readingOrder="1"/>
    </xf>
    <xf numFmtId="0" fontId="19" fillId="10" borderId="19" xfId="0" applyFont="1" applyFill="1" applyBorder="1" applyAlignment="1">
      <alignment horizontal="center" vertical="center" wrapText="1" readingOrder="1"/>
    </xf>
    <xf numFmtId="0" fontId="19" fillId="10" borderId="20" xfId="0" applyFont="1" applyFill="1" applyBorder="1" applyAlignment="1">
      <alignment horizontal="center" vertical="center"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4" borderId="13" xfId="0" applyFont="1" applyFill="1" applyBorder="1" applyAlignment="1">
      <alignment horizontal="center" vertical="center" wrapText="1" readingOrder="1"/>
    </xf>
    <xf numFmtId="0" fontId="19" fillId="4" borderId="14" xfId="0" applyFont="1" applyFill="1" applyBorder="1" applyAlignment="1">
      <alignment horizontal="center" vertical="center" wrapText="1" readingOrder="1"/>
    </xf>
    <xf numFmtId="0" fontId="19" fillId="4" borderId="15" xfId="0" applyFont="1" applyFill="1" applyBorder="1" applyAlignment="1">
      <alignment horizontal="center" vertical="center" wrapText="1" readingOrder="1"/>
    </xf>
    <xf numFmtId="0" fontId="19" fillId="4" borderId="16" xfId="0" applyFont="1" applyFill="1" applyBorder="1" applyAlignment="1">
      <alignment horizontal="center" vertical="center" wrapText="1" readingOrder="1"/>
    </xf>
    <xf numFmtId="0" fontId="19" fillId="4" borderId="0" xfId="0" applyFont="1" applyFill="1" applyAlignment="1">
      <alignment horizontal="center" vertical="center" wrapText="1" readingOrder="1"/>
    </xf>
    <xf numFmtId="0" fontId="19" fillId="4" borderId="17" xfId="0" applyFont="1" applyFill="1" applyBorder="1" applyAlignment="1">
      <alignment horizontal="center" vertical="center" wrapText="1" readingOrder="1"/>
    </xf>
    <xf numFmtId="0" fontId="19" fillId="4" borderId="18" xfId="0" applyFont="1" applyFill="1" applyBorder="1" applyAlignment="1">
      <alignment horizontal="center" vertical="center" wrapText="1" readingOrder="1"/>
    </xf>
    <xf numFmtId="0" fontId="19" fillId="4" borderId="19" xfId="0" applyFont="1" applyFill="1" applyBorder="1" applyAlignment="1">
      <alignment horizontal="center" vertical="center" wrapText="1" readingOrder="1"/>
    </xf>
    <xf numFmtId="0" fontId="19" fillId="4"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8" fillId="10" borderId="0" xfId="0" applyFont="1" applyFill="1" applyAlignment="1" applyProtection="1">
      <alignment horizontal="center" vertical="center" wrapText="1" readingOrder="1"/>
      <protection hidden="1"/>
    </xf>
    <xf numFmtId="0" fontId="18" fillId="10" borderId="8" xfId="0" applyFont="1" applyFill="1" applyBorder="1" applyAlignment="1" applyProtection="1">
      <alignment horizontal="center" vertical="center" wrapText="1" readingOrder="1"/>
      <protection hidden="1"/>
    </xf>
    <xf numFmtId="0" fontId="18" fillId="10" borderId="5" xfId="0" applyFont="1" applyFill="1" applyBorder="1" applyAlignment="1" applyProtection="1">
      <alignment horizontal="center" vertical="center" wrapText="1" readingOrder="1"/>
      <protection hidden="1"/>
    </xf>
    <xf numFmtId="0" fontId="18" fillId="10" borderId="12" xfId="0" applyFont="1" applyFill="1" applyBorder="1" applyAlignment="1" applyProtection="1">
      <alignment horizontal="center" vertical="center" wrapText="1" readingOrder="1"/>
      <protection hidden="1"/>
    </xf>
    <xf numFmtId="0" fontId="18" fillId="10" borderId="7" xfId="0" applyFont="1" applyFill="1" applyBorder="1" applyAlignment="1" applyProtection="1">
      <alignment horizontal="center" vertical="center" wrapText="1" readingOrder="1"/>
      <protection hidden="1"/>
    </xf>
    <xf numFmtId="0" fontId="18" fillId="10" borderId="6" xfId="0" applyFont="1" applyFill="1" applyBorder="1" applyAlignment="1" applyProtection="1">
      <alignment horizontal="center" vertical="center" wrapText="1" readingOrder="1"/>
      <protection hidden="1"/>
    </xf>
    <xf numFmtId="0" fontId="16" fillId="9" borderId="0" xfId="0" applyFont="1" applyFill="1" applyAlignment="1">
      <alignment horizontal="center" vertical="center" wrapText="1" readingOrder="1"/>
    </xf>
    <xf numFmtId="0" fontId="15" fillId="0" borderId="12" xfId="0" applyFont="1" applyBorder="1" applyAlignment="1">
      <alignment horizontal="center" vertical="center" wrapText="1"/>
    </xf>
    <xf numFmtId="0" fontId="18" fillId="10" borderId="9" xfId="0" applyFont="1" applyFill="1" applyBorder="1" applyAlignment="1" applyProtection="1">
      <alignment horizontal="center" vertical="center" wrapText="1" readingOrder="1"/>
      <protection hidden="1"/>
    </xf>
    <xf numFmtId="0" fontId="18" fillId="10" borderId="11" xfId="0" applyFont="1" applyFill="1" applyBorder="1" applyAlignment="1" applyProtection="1">
      <alignment horizontal="center" vertical="center" wrapText="1" readingOrder="1"/>
      <protection hidden="1"/>
    </xf>
    <xf numFmtId="0" fontId="18" fillId="10" borderId="10"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wrapText="1" readingOrder="1"/>
      <protection hidden="1"/>
    </xf>
    <xf numFmtId="0" fontId="18" fillId="11" borderId="0" xfId="0" applyFont="1" applyFill="1" applyAlignment="1" applyProtection="1">
      <alignment horizontal="center" wrapText="1" readingOrder="1"/>
      <protection hidden="1"/>
    </xf>
    <xf numFmtId="0" fontId="18" fillId="11" borderId="8" xfId="0" applyFont="1" applyFill="1" applyBorder="1" applyAlignment="1" applyProtection="1">
      <alignment horizontal="center" wrapText="1" readingOrder="1"/>
      <protection hidden="1"/>
    </xf>
    <xf numFmtId="0" fontId="18" fillId="11" borderId="9" xfId="0" applyFont="1" applyFill="1" applyBorder="1" applyAlignment="1" applyProtection="1">
      <alignment horizontal="center" wrapText="1" readingOrder="1"/>
      <protection hidden="1"/>
    </xf>
    <xf numFmtId="0" fontId="18" fillId="11" borderId="11" xfId="0" applyFont="1" applyFill="1" applyBorder="1" applyAlignment="1" applyProtection="1">
      <alignment horizontal="center" wrapText="1" readingOrder="1"/>
      <protection hidden="1"/>
    </xf>
    <xf numFmtId="0" fontId="18" fillId="11" borderId="10" xfId="0" applyFont="1" applyFill="1" applyBorder="1" applyAlignment="1" applyProtection="1">
      <alignment horizontal="center" wrapText="1" readingOrder="1"/>
      <protection hidden="1"/>
    </xf>
    <xf numFmtId="0" fontId="18" fillId="11" borderId="5" xfId="0" applyFont="1" applyFill="1" applyBorder="1" applyAlignment="1" applyProtection="1">
      <alignment horizontal="center" wrapText="1" readingOrder="1"/>
      <protection hidden="1"/>
    </xf>
    <xf numFmtId="0" fontId="18" fillId="11" borderId="12" xfId="0" applyFont="1" applyFill="1" applyBorder="1" applyAlignment="1" applyProtection="1">
      <alignment horizontal="center" wrapText="1" readingOrder="1"/>
      <protection hidden="1"/>
    </xf>
    <xf numFmtId="0" fontId="18" fillId="11"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4" borderId="0" xfId="0" applyFont="1" applyFill="1" applyAlignment="1" applyProtection="1">
      <alignment horizontal="center" wrapText="1" readingOrder="1"/>
      <protection hidden="1"/>
    </xf>
    <xf numFmtId="0" fontId="18" fillId="4" borderId="8" xfId="0" applyFont="1" applyFill="1" applyBorder="1" applyAlignment="1" applyProtection="1">
      <alignment horizontal="center" wrapText="1" readingOrder="1"/>
      <protection hidden="1"/>
    </xf>
    <xf numFmtId="0" fontId="18" fillId="4" borderId="7" xfId="0" applyFont="1" applyFill="1" applyBorder="1" applyAlignment="1" applyProtection="1">
      <alignment horizontal="center" wrapText="1" readingOrder="1"/>
      <protection hidden="1"/>
    </xf>
    <xf numFmtId="0" fontId="18" fillId="4" borderId="9" xfId="0" applyFont="1" applyFill="1" applyBorder="1" applyAlignment="1" applyProtection="1">
      <alignment horizontal="center" wrapText="1" readingOrder="1"/>
      <protection hidden="1"/>
    </xf>
    <xf numFmtId="0" fontId="18" fillId="4" borderId="11" xfId="0" applyFont="1" applyFill="1" applyBorder="1" applyAlignment="1" applyProtection="1">
      <alignment horizontal="center" wrapText="1" readingOrder="1"/>
      <protection hidden="1"/>
    </xf>
    <xf numFmtId="0" fontId="18" fillId="4" borderId="10" xfId="0" applyFont="1" applyFill="1" applyBorder="1" applyAlignment="1" applyProtection="1">
      <alignment horizontal="center" wrapText="1" readingOrder="1"/>
      <protection hidden="1"/>
    </xf>
    <xf numFmtId="0" fontId="18" fillId="4" borderId="5" xfId="0" applyFont="1" applyFill="1" applyBorder="1" applyAlignment="1" applyProtection="1">
      <alignment horizontal="center" wrapText="1" readingOrder="1"/>
      <protection hidden="1"/>
    </xf>
    <xf numFmtId="0" fontId="18" fillId="4" borderId="12" xfId="0" applyFont="1" applyFill="1" applyBorder="1" applyAlignment="1" applyProtection="1">
      <alignment horizontal="center" wrapText="1" readingOrder="1"/>
      <protection hidden="1"/>
    </xf>
    <xf numFmtId="0" fontId="18" fillId="4" borderId="6" xfId="0" applyFont="1" applyFill="1" applyBorder="1" applyAlignment="1" applyProtection="1">
      <alignment horizontal="center" wrapText="1" readingOrder="1"/>
      <protection hidden="1"/>
    </xf>
    <xf numFmtId="0" fontId="23" fillId="0" borderId="0" xfId="0" applyFont="1" applyAlignment="1">
      <alignment horizontal="center" vertical="center" wrapText="1"/>
    </xf>
    <xf numFmtId="0" fontId="39" fillId="10" borderId="13" xfId="0" applyFont="1" applyFill="1" applyBorder="1" applyAlignment="1">
      <alignment horizontal="center" vertical="center" wrapText="1" readingOrder="1"/>
    </xf>
    <xf numFmtId="0" fontId="39" fillId="10" borderId="14" xfId="0" applyFont="1" applyFill="1" applyBorder="1" applyAlignment="1">
      <alignment horizontal="center" vertical="center" wrapText="1" readingOrder="1"/>
    </xf>
    <xf numFmtId="0" fontId="39" fillId="10" borderId="15" xfId="0" applyFont="1" applyFill="1" applyBorder="1" applyAlignment="1">
      <alignment horizontal="center" vertical="center" wrapText="1" readingOrder="1"/>
    </xf>
    <xf numFmtId="0" fontId="39" fillId="10" borderId="16" xfId="0" applyFont="1" applyFill="1" applyBorder="1" applyAlignment="1">
      <alignment horizontal="center" vertical="center" wrapText="1" readingOrder="1"/>
    </xf>
    <xf numFmtId="0" fontId="39" fillId="10" borderId="0" xfId="0" applyFont="1" applyFill="1" applyAlignment="1">
      <alignment horizontal="center" vertical="center" wrapText="1" readingOrder="1"/>
    </xf>
    <xf numFmtId="0" fontId="39" fillId="10" borderId="17" xfId="0" applyFont="1" applyFill="1" applyBorder="1" applyAlignment="1">
      <alignment horizontal="center" vertical="center" wrapText="1" readingOrder="1"/>
    </xf>
    <xf numFmtId="0" fontId="39" fillId="10" borderId="18" xfId="0" applyFont="1" applyFill="1" applyBorder="1" applyAlignment="1">
      <alignment horizontal="center" vertical="center" wrapText="1" readingOrder="1"/>
    </xf>
    <xf numFmtId="0" fontId="39" fillId="10" borderId="19" xfId="0" applyFont="1" applyFill="1" applyBorder="1" applyAlignment="1">
      <alignment horizontal="center" vertical="center" wrapText="1" readingOrder="1"/>
    </xf>
    <xf numFmtId="0" fontId="39" fillId="10" borderId="20" xfId="0" applyFont="1" applyFill="1" applyBorder="1" applyAlignment="1">
      <alignment horizontal="center" vertical="center" wrapText="1" readingOrder="1"/>
    </xf>
    <xf numFmtId="0" fontId="40" fillId="0" borderId="5" xfId="0" applyFont="1" applyBorder="1" applyAlignment="1">
      <alignment horizontal="center" vertical="center" wrapText="1"/>
    </xf>
    <xf numFmtId="0" fontId="40" fillId="0" borderId="12" xfId="0" applyFont="1" applyBorder="1" applyAlignment="1">
      <alignment horizontal="center" vertical="center"/>
    </xf>
    <xf numFmtId="0" fontId="40" fillId="0" borderId="7" xfId="0" applyFont="1" applyBorder="1" applyAlignment="1">
      <alignment horizontal="center" vertical="center" wrapText="1"/>
    </xf>
    <xf numFmtId="0" fontId="40" fillId="0" borderId="0" xfId="0" applyFont="1" applyAlignment="1">
      <alignment horizontal="center" vertical="center"/>
    </xf>
    <xf numFmtId="0" fontId="40" fillId="0" borderId="7" xfId="0" applyFont="1" applyBorder="1" applyAlignment="1">
      <alignment horizontal="center" vertical="center"/>
    </xf>
    <xf numFmtId="0" fontId="40" fillId="0" borderId="9" xfId="0" applyFont="1" applyBorder="1" applyAlignment="1">
      <alignment horizontal="center" vertical="center"/>
    </xf>
    <xf numFmtId="0" fontId="40" fillId="0" borderId="11" xfId="0" applyFont="1" applyBorder="1" applyAlignment="1">
      <alignment horizontal="center" vertical="center"/>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9" fillId="11" borderId="0" xfId="0" applyFont="1" applyFill="1" applyAlignment="1">
      <alignment horizontal="center" vertical="center" wrapText="1" readingOrder="1"/>
    </xf>
    <xf numFmtId="0" fontId="39" fillId="11" borderId="17" xfId="0" applyFont="1" applyFill="1" applyBorder="1" applyAlignment="1">
      <alignment horizontal="center" vertical="center" wrapText="1" readingOrder="1"/>
    </xf>
    <xf numFmtId="0" fontId="39" fillId="11" borderId="18" xfId="0" applyFont="1" applyFill="1" applyBorder="1" applyAlignment="1">
      <alignment horizontal="center" vertical="center" wrapText="1" readingOrder="1"/>
    </xf>
    <xf numFmtId="0" fontId="39" fillId="11" borderId="19" xfId="0" applyFont="1" applyFill="1" applyBorder="1" applyAlignment="1">
      <alignment horizontal="center" vertical="center" wrapText="1" readingOrder="1"/>
    </xf>
    <xf numFmtId="0" fontId="39" fillId="11" borderId="20" xfId="0" applyFont="1" applyFill="1" applyBorder="1" applyAlignment="1">
      <alignment horizontal="center" vertical="center" wrapText="1" readingOrder="1"/>
    </xf>
    <xf numFmtId="0" fontId="38" fillId="0" borderId="0" xfId="0" applyFont="1" applyAlignment="1">
      <alignment horizontal="center" vertical="center" wrapText="1"/>
    </xf>
    <xf numFmtId="0" fontId="20" fillId="0" borderId="0" xfId="0" applyFont="1" applyAlignment="1">
      <alignment horizontal="center" vertical="center" wrapText="1"/>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40" fillId="0" borderId="10" xfId="0" applyFont="1" applyBorder="1" applyAlignment="1">
      <alignment horizontal="center" vertical="center"/>
    </xf>
    <xf numFmtId="0" fontId="39" fillId="4" borderId="13" xfId="0" applyFont="1" applyFill="1" applyBorder="1" applyAlignment="1">
      <alignment horizontal="center" vertical="center" wrapText="1" readingOrder="1"/>
    </xf>
    <xf numFmtId="0" fontId="39" fillId="4" borderId="14" xfId="0" applyFont="1" applyFill="1" applyBorder="1" applyAlignment="1">
      <alignment horizontal="center" vertical="center" wrapText="1" readingOrder="1"/>
    </xf>
    <xf numFmtId="0" fontId="39" fillId="4" borderId="15" xfId="0" applyFont="1" applyFill="1" applyBorder="1" applyAlignment="1">
      <alignment horizontal="center" vertical="center" wrapText="1" readingOrder="1"/>
    </xf>
    <xf numFmtId="0" fontId="39" fillId="4" borderId="16" xfId="0" applyFont="1" applyFill="1" applyBorder="1" applyAlignment="1">
      <alignment horizontal="center" vertical="center" wrapText="1" readingOrder="1"/>
    </xf>
    <xf numFmtId="0" fontId="39" fillId="4" borderId="0" xfId="0" applyFont="1" applyFill="1" applyAlignment="1">
      <alignment horizontal="center" vertical="center" wrapText="1" readingOrder="1"/>
    </xf>
    <xf numFmtId="0" fontId="39" fillId="4" borderId="17" xfId="0" applyFont="1" applyFill="1" applyBorder="1" applyAlignment="1">
      <alignment horizontal="center" vertical="center" wrapText="1" readingOrder="1"/>
    </xf>
    <xf numFmtId="0" fontId="39" fillId="4" borderId="18" xfId="0" applyFont="1" applyFill="1" applyBorder="1" applyAlignment="1">
      <alignment horizontal="center" vertical="center" wrapText="1" readingOrder="1"/>
    </xf>
    <xf numFmtId="0" fontId="39" fillId="4" borderId="19" xfId="0" applyFont="1" applyFill="1" applyBorder="1" applyAlignment="1">
      <alignment horizontal="center" vertical="center" wrapText="1" readingOrder="1"/>
    </xf>
    <xf numFmtId="0" fontId="39" fillId="4" borderId="20"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39" fillId="12" borderId="0" xfId="0" applyFont="1" applyFill="1" applyAlignment="1">
      <alignment horizontal="center" vertical="center" wrapText="1" readingOrder="1"/>
    </xf>
    <xf numFmtId="0" fontId="39" fillId="12" borderId="17" xfId="0" applyFont="1" applyFill="1" applyBorder="1" applyAlignment="1">
      <alignment horizontal="center" vertical="center" wrapText="1" readingOrder="1"/>
    </xf>
    <xf numFmtId="0" fontId="39" fillId="12" borderId="18" xfId="0" applyFont="1" applyFill="1" applyBorder="1" applyAlignment="1">
      <alignment horizontal="center" vertical="center" wrapText="1" readingOrder="1"/>
    </xf>
    <xf numFmtId="0" fontId="39" fillId="12" borderId="19" xfId="0" applyFont="1" applyFill="1" applyBorder="1" applyAlignment="1">
      <alignment horizontal="center" vertical="center" wrapText="1" readingOrder="1"/>
    </xf>
    <xf numFmtId="0" fontId="39" fillId="12" borderId="20" xfId="0" applyFont="1" applyFill="1" applyBorder="1" applyAlignment="1">
      <alignment horizontal="center" vertical="center" wrapText="1" readingOrder="1"/>
    </xf>
    <xf numFmtId="0" fontId="40" fillId="0" borderId="12" xfId="0" applyFont="1" applyBorder="1" applyAlignment="1">
      <alignment horizontal="center" vertical="center" wrapText="1"/>
    </xf>
    <xf numFmtId="0" fontId="22" fillId="0" borderId="0" xfId="0" applyFont="1" applyAlignment="1">
      <alignment horizontal="center" vertical="center"/>
    </xf>
    <xf numFmtId="0" fontId="42" fillId="0" borderId="0" xfId="0" applyFont="1" applyAlignment="1">
      <alignment horizontal="center" vertical="center"/>
    </xf>
    <xf numFmtId="0" fontId="37" fillId="14" borderId="25" xfId="0" applyFont="1" applyFill="1" applyBorder="1" applyAlignment="1">
      <alignment horizontal="center" vertical="center" wrapText="1" readingOrder="1"/>
    </xf>
    <xf numFmtId="0" fontId="37" fillId="14" borderId="26" xfId="0" applyFont="1" applyFill="1" applyBorder="1" applyAlignment="1">
      <alignment horizontal="center" vertical="center" wrapText="1" readingOrder="1"/>
    </xf>
    <xf numFmtId="0" fontId="37" fillId="14" borderId="37" xfId="0" applyFont="1" applyFill="1" applyBorder="1" applyAlignment="1">
      <alignment horizontal="center" vertical="center" wrapText="1" readingOrder="1"/>
    </xf>
    <xf numFmtId="0" fontId="32" fillId="2" borderId="0" xfId="0" applyFont="1" applyFill="1" applyAlignment="1">
      <alignment horizontal="justify" vertical="center" wrapText="1"/>
    </xf>
    <xf numFmtId="0" fontId="34" fillId="14" borderId="34" xfId="0" applyFont="1" applyFill="1" applyBorder="1" applyAlignment="1">
      <alignment horizontal="center" vertical="center" wrapText="1" readingOrder="1"/>
    </xf>
    <xf numFmtId="0" fontId="34" fillId="14" borderId="35" xfId="0" applyFont="1" applyFill="1" applyBorder="1" applyAlignment="1">
      <alignment horizontal="center" vertical="center" wrapText="1" readingOrder="1"/>
    </xf>
    <xf numFmtId="0" fontId="34" fillId="2" borderId="32" xfId="0" applyFont="1" applyFill="1" applyBorder="1" applyAlignment="1">
      <alignment horizontal="center" vertical="center" wrapText="1" readingOrder="1"/>
    </xf>
    <xf numFmtId="0" fontId="34" fillId="2" borderId="27" xfId="0" applyFont="1" applyFill="1" applyBorder="1" applyAlignment="1">
      <alignment horizontal="center" vertical="center" wrapText="1" readingOrder="1"/>
    </xf>
    <xf numFmtId="0" fontId="34" fillId="2" borderId="24" xfId="0"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4" fillId="2" borderId="29"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xf numFmtId="0" fontId="62" fillId="15" borderId="72" xfId="0" applyFont="1" applyFill="1" applyBorder="1" applyAlignment="1">
      <alignment horizontal="center" vertical="center"/>
    </xf>
    <xf numFmtId="0" fontId="62" fillId="15" borderId="73" xfId="0" applyFont="1" applyFill="1" applyBorder="1" applyAlignment="1">
      <alignment horizontal="center" vertical="center"/>
    </xf>
    <xf numFmtId="0" fontId="62" fillId="15" borderId="74" xfId="0" applyFont="1" applyFill="1" applyBorder="1" applyAlignment="1">
      <alignment horizontal="center" vertical="center"/>
    </xf>
    <xf numFmtId="0" fontId="62" fillId="16" borderId="25" xfId="0" applyFont="1" applyFill="1" applyBorder="1" applyAlignment="1">
      <alignment horizontal="center" vertical="center"/>
    </xf>
    <xf numFmtId="0" fontId="62" fillId="16" borderId="26" xfId="0" applyFont="1" applyFill="1" applyBorder="1" applyAlignment="1">
      <alignment horizontal="center" vertical="center"/>
    </xf>
    <xf numFmtId="0" fontId="62" fillId="16" borderId="37" xfId="0" applyFont="1" applyFill="1" applyBorder="1" applyAlignment="1">
      <alignment horizontal="center" vertical="center"/>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38">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2</xdr:col>
      <xdr:colOff>1238250</xdr:colOff>
      <xdr:row>3</xdr:row>
      <xdr:rowOff>224678</xdr:rowOff>
    </xdr:to>
    <xdr:pic>
      <xdr:nvPicPr>
        <xdr:cNvPr id="2"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285750"/>
          <a:ext cx="923925" cy="853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9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2:N15"/>
  <sheetViews>
    <sheetView view="pageBreakPreview" topLeftCell="A16" zoomScale="60" zoomScaleNormal="100" workbookViewId="0">
      <selection activeCell="G12" sqref="G12:M12"/>
    </sheetView>
  </sheetViews>
  <sheetFormatPr baseColWidth="10" defaultRowHeight="15" x14ac:dyDescent="0.25"/>
  <cols>
    <col min="1" max="1" width="5" customWidth="1"/>
    <col min="3" max="5" width="23.140625" customWidth="1"/>
    <col min="6" max="8" width="19.28515625" customWidth="1"/>
    <col min="9" max="11" width="20" customWidth="1"/>
    <col min="12" max="14" width="17.5703125" customWidth="1"/>
  </cols>
  <sheetData>
    <row r="2" spans="3:14" ht="28.5" customHeight="1" x14ac:dyDescent="0.25">
      <c r="C2" s="201"/>
      <c r="D2" s="201"/>
      <c r="E2" s="202" t="s">
        <v>302</v>
      </c>
      <c r="F2" s="202"/>
      <c r="G2" s="202"/>
      <c r="H2" s="202"/>
      <c r="I2" s="202"/>
      <c r="J2" s="202"/>
      <c r="K2" s="203" t="s">
        <v>213</v>
      </c>
      <c r="L2" s="203"/>
      <c r="M2" s="203"/>
      <c r="N2" s="203"/>
    </row>
    <row r="3" spans="3:14" ht="28.5" customHeight="1" x14ac:dyDescent="0.25">
      <c r="C3" s="201"/>
      <c r="D3" s="201"/>
      <c r="E3" s="202"/>
      <c r="F3" s="202"/>
      <c r="G3" s="202"/>
      <c r="H3" s="202"/>
      <c r="I3" s="202"/>
      <c r="J3" s="202"/>
      <c r="K3" s="204" t="s">
        <v>214</v>
      </c>
      <c r="L3" s="204"/>
      <c r="M3" s="204"/>
      <c r="N3" s="204"/>
    </row>
    <row r="4" spans="3:14" ht="28.5" customHeight="1" x14ac:dyDescent="0.25">
      <c r="C4" s="201"/>
      <c r="D4" s="201"/>
      <c r="E4" s="202"/>
      <c r="F4" s="202"/>
      <c r="G4" s="202"/>
      <c r="H4" s="202"/>
      <c r="I4" s="202"/>
      <c r="J4" s="202"/>
      <c r="K4" s="204" t="s">
        <v>303</v>
      </c>
      <c r="L4" s="204"/>
      <c r="M4" s="204"/>
      <c r="N4" s="204"/>
    </row>
    <row r="5" spans="3:14" x14ac:dyDescent="0.25">
      <c r="C5" s="198"/>
      <c r="D5" s="199"/>
      <c r="E5" s="199"/>
      <c r="F5" s="199"/>
      <c r="G5" s="199"/>
      <c r="H5" s="199"/>
      <c r="I5" s="199"/>
      <c r="J5" s="199"/>
      <c r="K5" s="199"/>
      <c r="L5" s="199"/>
      <c r="M5" s="199"/>
      <c r="N5" s="200"/>
    </row>
    <row r="6" spans="3:14" ht="20.25" customHeight="1" x14ac:dyDescent="0.25">
      <c r="C6" s="205" t="s">
        <v>304</v>
      </c>
      <c r="D6" s="206"/>
      <c r="E6" s="206"/>
      <c r="F6" s="206"/>
      <c r="G6" s="206"/>
      <c r="H6" s="206"/>
      <c r="I6" s="206"/>
      <c r="J6" s="206"/>
      <c r="K6" s="206"/>
      <c r="L6" s="206"/>
      <c r="M6" s="206"/>
      <c r="N6" s="207"/>
    </row>
    <row r="7" spans="3:14" ht="30.75" customHeight="1" x14ac:dyDescent="0.25">
      <c r="C7" s="208"/>
      <c r="D7" s="145" t="s">
        <v>305</v>
      </c>
      <c r="E7" s="211" t="s">
        <v>306</v>
      </c>
      <c r="F7" s="211"/>
      <c r="G7" s="211" t="s">
        <v>307</v>
      </c>
      <c r="H7" s="211"/>
      <c r="I7" s="211"/>
      <c r="J7" s="211"/>
      <c r="K7" s="211"/>
      <c r="L7" s="211"/>
      <c r="M7" s="211"/>
      <c r="N7" s="212"/>
    </row>
    <row r="8" spans="3:14" ht="51.75" customHeight="1" x14ac:dyDescent="0.25">
      <c r="C8" s="209"/>
      <c r="D8" s="146">
        <v>1</v>
      </c>
      <c r="E8" s="215" t="s">
        <v>308</v>
      </c>
      <c r="F8" s="215"/>
      <c r="G8" s="216" t="s">
        <v>309</v>
      </c>
      <c r="H8" s="216"/>
      <c r="I8" s="216"/>
      <c r="J8" s="216"/>
      <c r="K8" s="216"/>
      <c r="L8" s="216"/>
      <c r="M8" s="216"/>
      <c r="N8" s="213"/>
    </row>
    <row r="9" spans="3:14" ht="51.75" customHeight="1" x14ac:dyDescent="0.25">
      <c r="C9" s="209"/>
      <c r="D9" s="146">
        <v>2</v>
      </c>
      <c r="E9" s="215" t="s">
        <v>310</v>
      </c>
      <c r="F9" s="215"/>
      <c r="G9" s="217" t="s">
        <v>311</v>
      </c>
      <c r="H9" s="217"/>
      <c r="I9" s="217"/>
      <c r="J9" s="217"/>
      <c r="K9" s="217"/>
      <c r="L9" s="217"/>
      <c r="M9" s="217"/>
      <c r="N9" s="213"/>
    </row>
    <row r="10" spans="3:14" ht="51.75" customHeight="1" x14ac:dyDescent="0.25">
      <c r="C10" s="209"/>
      <c r="D10" s="147">
        <v>3</v>
      </c>
      <c r="E10" s="218" t="s">
        <v>312</v>
      </c>
      <c r="F10" s="218"/>
      <c r="G10" s="219" t="s">
        <v>313</v>
      </c>
      <c r="H10" s="220"/>
      <c r="I10" s="220"/>
      <c r="J10" s="220"/>
      <c r="K10" s="220"/>
      <c r="L10" s="220"/>
      <c r="M10" s="221"/>
      <c r="N10" s="213"/>
    </row>
    <row r="11" spans="3:14" ht="162" customHeight="1" x14ac:dyDescent="0.25">
      <c r="C11" s="210"/>
      <c r="D11" s="147">
        <v>4</v>
      </c>
      <c r="E11" s="218" t="s">
        <v>314</v>
      </c>
      <c r="F11" s="218"/>
      <c r="G11" s="219" t="s">
        <v>315</v>
      </c>
      <c r="H11" s="220"/>
      <c r="I11" s="220"/>
      <c r="J11" s="220"/>
      <c r="K11" s="220"/>
      <c r="L11" s="220"/>
      <c r="M11" s="221"/>
      <c r="N11" s="213"/>
    </row>
    <row r="12" spans="3:14" ht="73.5" customHeight="1" x14ac:dyDescent="0.25">
      <c r="C12" s="148"/>
      <c r="D12" s="147">
        <v>5</v>
      </c>
      <c r="E12" s="218" t="s">
        <v>316</v>
      </c>
      <c r="F12" s="218"/>
      <c r="G12" s="219" t="s">
        <v>317</v>
      </c>
      <c r="H12" s="220"/>
      <c r="I12" s="220"/>
      <c r="J12" s="220"/>
      <c r="K12" s="220"/>
      <c r="L12" s="220"/>
      <c r="M12" s="221"/>
      <c r="N12" s="214"/>
    </row>
    <row r="13" spans="3:14" ht="36.75" customHeight="1" x14ac:dyDescent="0.25">
      <c r="C13" s="205" t="s">
        <v>318</v>
      </c>
      <c r="D13" s="206"/>
      <c r="E13" s="206"/>
      <c r="F13" s="206"/>
      <c r="G13" s="206"/>
      <c r="H13" s="206"/>
      <c r="I13" s="206"/>
      <c r="J13" s="206"/>
      <c r="K13" s="206"/>
      <c r="L13" s="206"/>
      <c r="M13" s="206"/>
      <c r="N13" s="207"/>
    </row>
    <row r="14" spans="3:14" x14ac:dyDescent="0.25">
      <c r="C14" s="222" t="s">
        <v>319</v>
      </c>
      <c r="D14" s="223"/>
      <c r="E14" s="224"/>
      <c r="F14" s="222" t="s">
        <v>320</v>
      </c>
      <c r="G14" s="223"/>
      <c r="H14" s="223"/>
      <c r="I14" s="223"/>
      <c r="J14" s="223"/>
      <c r="K14" s="224"/>
      <c r="L14" s="222" t="s">
        <v>321</v>
      </c>
      <c r="M14" s="223"/>
      <c r="N14" s="224"/>
    </row>
    <row r="15" spans="3:14" ht="254.25" customHeight="1" x14ac:dyDescent="0.25">
      <c r="C15" s="225" t="s">
        <v>322</v>
      </c>
      <c r="D15" s="225"/>
      <c r="E15" s="225"/>
      <c r="F15" s="225" t="s">
        <v>323</v>
      </c>
      <c r="G15" s="225"/>
      <c r="H15" s="225"/>
      <c r="I15" s="225" t="s">
        <v>324</v>
      </c>
      <c r="J15" s="225"/>
      <c r="K15" s="225"/>
      <c r="L15" s="225" t="s">
        <v>325</v>
      </c>
      <c r="M15" s="225"/>
      <c r="N15" s="225"/>
    </row>
  </sheetData>
  <mergeCells count="29">
    <mergeCell ref="C14:E14"/>
    <mergeCell ref="F14:K14"/>
    <mergeCell ref="L14:N14"/>
    <mergeCell ref="C15:E15"/>
    <mergeCell ref="F15:H15"/>
    <mergeCell ref="I15:K15"/>
    <mergeCell ref="L15:N15"/>
    <mergeCell ref="C13:N13"/>
    <mergeCell ref="C6:N6"/>
    <mergeCell ref="C7:C11"/>
    <mergeCell ref="E7:F7"/>
    <mergeCell ref="G7:M7"/>
    <mergeCell ref="N7:N12"/>
    <mergeCell ref="E8:F8"/>
    <mergeCell ref="G8:M8"/>
    <mergeCell ref="E9:F9"/>
    <mergeCell ref="G9:M9"/>
    <mergeCell ref="E10:F10"/>
    <mergeCell ref="G10:M10"/>
    <mergeCell ref="E11:F11"/>
    <mergeCell ref="G11:M11"/>
    <mergeCell ref="E12:F12"/>
    <mergeCell ref="G12:M12"/>
    <mergeCell ref="C5:N5"/>
    <mergeCell ref="C2:D4"/>
    <mergeCell ref="E2:J4"/>
    <mergeCell ref="K2:N2"/>
    <mergeCell ref="K3:N3"/>
    <mergeCell ref="K4:N4"/>
  </mergeCells>
  <printOptions horizontalCentered="1" verticalCentered="1"/>
  <pageMargins left="0.70866141732283472" right="0.70866141732283472" top="0.4" bottom="0.45" header="0.31496062992125984" footer="0.31496062992125984"/>
  <pageSetup paperSize="5"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C00000"/>
  </sheetPr>
  <dimension ref="A1:R33"/>
  <sheetViews>
    <sheetView showGridLines="0" zoomScaleNormal="100" workbookViewId="0">
      <selection activeCell="I25" sqref="I25"/>
    </sheetView>
  </sheetViews>
  <sheetFormatPr baseColWidth="10" defaultRowHeight="15" x14ac:dyDescent="0.25"/>
  <cols>
    <col min="1" max="1" width="11.85546875" customWidth="1"/>
    <col min="2" max="2" width="63.140625" customWidth="1"/>
    <col min="3" max="4" width="10.5703125" customWidth="1"/>
    <col min="5" max="18" width="9.5703125" customWidth="1"/>
  </cols>
  <sheetData>
    <row r="1" spans="1:18" ht="15.75" thickBot="1" x14ac:dyDescent="0.3"/>
    <row r="2" spans="1:18" ht="15.75" thickBot="1" x14ac:dyDescent="0.3">
      <c r="A2" s="548" t="s">
        <v>245</v>
      </c>
      <c r="B2" s="549"/>
      <c r="C2" s="549"/>
      <c r="D2" s="549"/>
      <c r="E2" s="550"/>
    </row>
    <row r="3" spans="1:18" ht="15.75" thickBot="1" x14ac:dyDescent="0.3">
      <c r="A3" s="122" t="s">
        <v>246</v>
      </c>
      <c r="B3" s="123" t="s">
        <v>247</v>
      </c>
      <c r="C3" s="123" t="s">
        <v>355</v>
      </c>
      <c r="D3" s="123" t="s">
        <v>356</v>
      </c>
      <c r="E3" s="123" t="s">
        <v>357</v>
      </c>
      <c r="F3" s="123" t="s">
        <v>358</v>
      </c>
      <c r="G3" s="123" t="s">
        <v>359</v>
      </c>
      <c r="H3" s="123" t="s">
        <v>360</v>
      </c>
      <c r="I3" s="123" t="s">
        <v>361</v>
      </c>
      <c r="J3" s="123" t="s">
        <v>362</v>
      </c>
      <c r="K3" s="123" t="s">
        <v>363</v>
      </c>
      <c r="L3" s="123" t="s">
        <v>364</v>
      </c>
      <c r="M3" s="123" t="s">
        <v>365</v>
      </c>
      <c r="N3" s="123" t="s">
        <v>366</v>
      </c>
      <c r="O3" s="123" t="s">
        <v>367</v>
      </c>
      <c r="P3" s="123" t="s">
        <v>368</v>
      </c>
      <c r="Q3" s="123" t="s">
        <v>369</v>
      </c>
      <c r="R3" s="123" t="s">
        <v>370</v>
      </c>
    </row>
    <row r="4" spans="1:18" ht="15.75" thickBot="1" x14ac:dyDescent="0.3">
      <c r="A4" s="124">
        <v>1</v>
      </c>
      <c r="B4" s="125" t="s">
        <v>250</v>
      </c>
      <c r="C4" s="126"/>
      <c r="D4" s="126"/>
      <c r="E4" s="126"/>
      <c r="F4" s="126"/>
      <c r="G4" s="126"/>
      <c r="H4" s="126"/>
      <c r="I4" s="126"/>
      <c r="J4" s="126"/>
      <c r="K4" s="126"/>
      <c r="L4" s="126"/>
      <c r="M4" s="126"/>
      <c r="N4" s="126"/>
      <c r="O4" s="126"/>
      <c r="P4" s="126"/>
      <c r="Q4" s="126"/>
      <c r="R4" s="126"/>
    </row>
    <row r="5" spans="1:18" ht="15.75" thickBot="1" x14ac:dyDescent="0.3">
      <c r="A5" s="124">
        <v>2</v>
      </c>
      <c r="B5" s="125" t="s">
        <v>251</v>
      </c>
      <c r="C5" s="126"/>
      <c r="D5" s="126"/>
      <c r="E5" s="126"/>
      <c r="F5" s="126"/>
      <c r="G5" s="126"/>
      <c r="H5" s="126"/>
      <c r="I5" s="126"/>
      <c r="J5" s="126"/>
      <c r="K5" s="126"/>
      <c r="L5" s="126"/>
      <c r="M5" s="126"/>
      <c r="N5" s="126"/>
      <c r="O5" s="126"/>
      <c r="P5" s="126"/>
      <c r="Q5" s="126"/>
      <c r="R5" s="126"/>
    </row>
    <row r="6" spans="1:18" ht="15.75" thickBot="1" x14ac:dyDescent="0.3">
      <c r="A6" s="124">
        <v>3</v>
      </c>
      <c r="B6" s="125" t="s">
        <v>252</v>
      </c>
      <c r="C6" s="126"/>
      <c r="D6" s="126"/>
      <c r="E6" s="126"/>
      <c r="F6" s="126"/>
      <c r="G6" s="126"/>
      <c r="H6" s="126"/>
      <c r="I6" s="126"/>
      <c r="J6" s="126"/>
      <c r="K6" s="126"/>
      <c r="L6" s="126"/>
      <c r="M6" s="126"/>
      <c r="N6" s="126"/>
      <c r="O6" s="126"/>
      <c r="P6" s="126"/>
      <c r="Q6" s="126"/>
      <c r="R6" s="126"/>
    </row>
    <row r="7" spans="1:18" ht="15.75" thickBot="1" x14ac:dyDescent="0.3">
      <c r="A7" s="124">
        <v>4</v>
      </c>
      <c r="B7" s="125" t="s">
        <v>253</v>
      </c>
      <c r="C7" s="126"/>
      <c r="D7" s="126"/>
      <c r="E7" s="126"/>
      <c r="F7" s="126"/>
      <c r="G7" s="126"/>
      <c r="H7" s="126"/>
      <c r="I7" s="126"/>
      <c r="J7" s="126"/>
      <c r="K7" s="126"/>
      <c r="L7" s="126"/>
      <c r="M7" s="126"/>
      <c r="N7" s="126"/>
      <c r="O7" s="126"/>
      <c r="P7" s="126"/>
      <c r="Q7" s="126"/>
      <c r="R7" s="126"/>
    </row>
    <row r="8" spans="1:18" ht="15.75" thickBot="1" x14ac:dyDescent="0.3">
      <c r="A8" s="124">
        <v>5</v>
      </c>
      <c r="B8" s="125" t="s">
        <v>254</v>
      </c>
      <c r="C8" s="126"/>
      <c r="D8" s="126"/>
      <c r="E8" s="126"/>
      <c r="F8" s="126"/>
      <c r="G8" s="126"/>
      <c r="H8" s="126"/>
      <c r="I8" s="126"/>
      <c r="J8" s="126"/>
      <c r="K8" s="126"/>
      <c r="L8" s="126"/>
      <c r="M8" s="126"/>
      <c r="N8" s="126"/>
      <c r="O8" s="126"/>
      <c r="P8" s="126"/>
      <c r="Q8" s="126"/>
      <c r="R8" s="126"/>
    </row>
    <row r="9" spans="1:18" ht="15.75" thickBot="1" x14ac:dyDescent="0.3">
      <c r="A9" s="124">
        <v>6</v>
      </c>
      <c r="B9" s="125" t="s">
        <v>255</v>
      </c>
      <c r="C9" s="126"/>
      <c r="D9" s="126"/>
      <c r="E9" s="126"/>
      <c r="F9" s="126"/>
      <c r="G9" s="126"/>
      <c r="H9" s="126"/>
      <c r="I9" s="126"/>
      <c r="J9" s="126"/>
      <c r="K9" s="126"/>
      <c r="L9" s="126"/>
      <c r="M9" s="126"/>
      <c r="N9" s="126"/>
      <c r="O9" s="126"/>
      <c r="P9" s="126"/>
      <c r="Q9" s="126"/>
      <c r="R9" s="126"/>
    </row>
    <row r="10" spans="1:18" ht="22.5" customHeight="1" thickBot="1" x14ac:dyDescent="0.3">
      <c r="A10" s="124">
        <v>7</v>
      </c>
      <c r="B10" s="125" t="s">
        <v>256</v>
      </c>
      <c r="C10" s="126"/>
      <c r="D10" s="126"/>
      <c r="E10" s="126"/>
      <c r="F10" s="126"/>
      <c r="G10" s="126"/>
      <c r="H10" s="126"/>
      <c r="I10" s="126"/>
      <c r="J10" s="126"/>
      <c r="K10" s="126"/>
      <c r="L10" s="126"/>
      <c r="M10" s="126"/>
      <c r="N10" s="126"/>
      <c r="O10" s="126"/>
      <c r="P10" s="126"/>
      <c r="Q10" s="126"/>
      <c r="R10" s="126"/>
    </row>
    <row r="11" spans="1:18" ht="24.75" customHeight="1" thickBot="1" x14ac:dyDescent="0.3">
      <c r="A11" s="124">
        <v>8</v>
      </c>
      <c r="B11" s="127" t="s">
        <v>257</v>
      </c>
      <c r="C11" s="126"/>
      <c r="D11" s="126"/>
      <c r="E11" s="126"/>
      <c r="F11" s="126"/>
      <c r="G11" s="126"/>
      <c r="H11" s="126"/>
      <c r="I11" s="126"/>
      <c r="J11" s="126"/>
      <c r="K11" s="126"/>
      <c r="L11" s="126"/>
      <c r="M11" s="126"/>
      <c r="N11" s="126"/>
      <c r="O11" s="126"/>
      <c r="P11" s="126"/>
      <c r="Q11" s="126"/>
      <c r="R11" s="126"/>
    </row>
    <row r="12" spans="1:18" ht="15.75" thickBot="1" x14ac:dyDescent="0.3">
      <c r="A12" s="124">
        <v>9</v>
      </c>
      <c r="B12" s="125" t="s">
        <v>258</v>
      </c>
      <c r="C12" s="126"/>
      <c r="D12" s="126"/>
      <c r="E12" s="126"/>
      <c r="F12" s="126"/>
      <c r="G12" s="126"/>
      <c r="H12" s="126"/>
      <c r="I12" s="126"/>
      <c r="J12" s="126"/>
      <c r="K12" s="126"/>
      <c r="L12" s="126"/>
      <c r="M12" s="126"/>
      <c r="N12" s="126"/>
      <c r="O12" s="126"/>
      <c r="P12" s="126"/>
      <c r="Q12" s="126"/>
      <c r="R12" s="126"/>
    </row>
    <row r="13" spans="1:18" ht="15.75" thickBot="1" x14ac:dyDescent="0.3">
      <c r="A13" s="124">
        <v>10</v>
      </c>
      <c r="B13" s="125" t="s">
        <v>259</v>
      </c>
      <c r="C13" s="126"/>
      <c r="D13" s="126"/>
      <c r="E13" s="126"/>
      <c r="F13" s="126"/>
      <c r="G13" s="126"/>
      <c r="H13" s="126"/>
      <c r="I13" s="126"/>
      <c r="J13" s="126"/>
      <c r="K13" s="126"/>
      <c r="L13" s="126"/>
      <c r="M13" s="126"/>
      <c r="N13" s="126"/>
      <c r="O13" s="126"/>
      <c r="P13" s="126"/>
      <c r="Q13" s="126"/>
      <c r="R13" s="126"/>
    </row>
    <row r="14" spans="1:18" ht="15.75" thickBot="1" x14ac:dyDescent="0.3">
      <c r="A14" s="124">
        <v>11</v>
      </c>
      <c r="B14" s="125" t="s">
        <v>260</v>
      </c>
      <c r="C14" s="126"/>
      <c r="D14" s="126"/>
      <c r="E14" s="126"/>
      <c r="F14" s="126"/>
      <c r="G14" s="126"/>
      <c r="H14" s="126"/>
      <c r="I14" s="126"/>
      <c r="J14" s="126"/>
      <c r="K14" s="126"/>
      <c r="L14" s="126"/>
      <c r="M14" s="126"/>
      <c r="N14" s="126"/>
      <c r="O14" s="126"/>
      <c r="P14" s="126"/>
      <c r="Q14" s="126"/>
      <c r="R14" s="126"/>
    </row>
    <row r="15" spans="1:18" ht="15.75" thickBot="1" x14ac:dyDescent="0.3">
      <c r="A15" s="124">
        <v>12</v>
      </c>
      <c r="B15" s="125" t="s">
        <v>261</v>
      </c>
      <c r="C15" s="126"/>
      <c r="D15" s="126"/>
      <c r="E15" s="126"/>
      <c r="F15" s="126"/>
      <c r="G15" s="126"/>
      <c r="H15" s="126"/>
      <c r="I15" s="126"/>
      <c r="J15" s="126"/>
      <c r="K15" s="126"/>
      <c r="L15" s="126"/>
      <c r="M15" s="126"/>
      <c r="N15" s="126"/>
      <c r="O15" s="126"/>
      <c r="P15" s="126"/>
      <c r="Q15" s="126"/>
      <c r="R15" s="126"/>
    </row>
    <row r="16" spans="1:18" ht="15.75" thickBot="1" x14ac:dyDescent="0.3">
      <c r="A16" s="124">
        <v>13</v>
      </c>
      <c r="B16" s="125" t="s">
        <v>262</v>
      </c>
      <c r="C16" s="126"/>
      <c r="D16" s="126"/>
      <c r="E16" s="126"/>
      <c r="F16" s="126"/>
      <c r="G16" s="126"/>
      <c r="H16" s="126"/>
      <c r="I16" s="126"/>
      <c r="J16" s="126"/>
      <c r="K16" s="126"/>
      <c r="L16" s="126"/>
      <c r="M16" s="126"/>
      <c r="N16" s="126"/>
      <c r="O16" s="126"/>
      <c r="P16" s="126"/>
      <c r="Q16" s="126"/>
      <c r="R16" s="126"/>
    </row>
    <row r="17" spans="1:18" ht="15.75" thickBot="1" x14ac:dyDescent="0.3">
      <c r="A17" s="124">
        <v>14</v>
      </c>
      <c r="B17" s="125" t="s">
        <v>263</v>
      </c>
      <c r="C17" s="126"/>
      <c r="D17" s="126"/>
      <c r="E17" s="126"/>
      <c r="F17" s="126"/>
      <c r="G17" s="126"/>
      <c r="H17" s="126"/>
      <c r="I17" s="126"/>
      <c r="J17" s="126"/>
      <c r="K17" s="126"/>
      <c r="L17" s="126"/>
      <c r="M17" s="126"/>
      <c r="N17" s="126"/>
      <c r="O17" s="126"/>
      <c r="P17" s="126"/>
      <c r="Q17" s="126"/>
      <c r="R17" s="126"/>
    </row>
    <row r="18" spans="1:18" ht="15.75" thickBot="1" x14ac:dyDescent="0.3">
      <c r="A18" s="124">
        <v>15</v>
      </c>
      <c r="B18" s="125" t="s">
        <v>264</v>
      </c>
      <c r="C18" s="126"/>
      <c r="D18" s="126"/>
      <c r="E18" s="126"/>
      <c r="F18" s="126"/>
      <c r="G18" s="126"/>
      <c r="H18" s="126"/>
      <c r="I18" s="126"/>
      <c r="J18" s="126"/>
      <c r="K18" s="126"/>
      <c r="L18" s="126"/>
      <c r="M18" s="126"/>
      <c r="N18" s="126"/>
      <c r="O18" s="126"/>
      <c r="P18" s="126"/>
      <c r="Q18" s="126"/>
      <c r="R18" s="126"/>
    </row>
    <row r="19" spans="1:18" ht="15.75" thickBot="1" x14ac:dyDescent="0.3">
      <c r="A19" s="124">
        <v>16</v>
      </c>
      <c r="B19" s="125" t="s">
        <v>265</v>
      </c>
      <c r="C19" s="126"/>
      <c r="D19" s="126"/>
      <c r="E19" s="126"/>
      <c r="F19" s="126"/>
      <c r="G19" s="126"/>
      <c r="H19" s="126"/>
      <c r="I19" s="126"/>
      <c r="J19" s="126"/>
      <c r="K19" s="126"/>
      <c r="L19" s="126"/>
      <c r="M19" s="126"/>
      <c r="N19" s="126"/>
      <c r="O19" s="126"/>
      <c r="P19" s="126"/>
      <c r="Q19" s="126"/>
      <c r="R19" s="126"/>
    </row>
    <row r="20" spans="1:18" ht="15.75" thickBot="1" x14ac:dyDescent="0.3">
      <c r="A20" s="124">
        <v>17</v>
      </c>
      <c r="B20" s="125" t="s">
        <v>266</v>
      </c>
      <c r="C20" s="126"/>
      <c r="D20" s="126"/>
      <c r="E20" s="126"/>
      <c r="F20" s="126"/>
      <c r="G20" s="126"/>
      <c r="H20" s="126"/>
      <c r="I20" s="126"/>
      <c r="J20" s="126"/>
      <c r="K20" s="126"/>
      <c r="L20" s="126"/>
      <c r="M20" s="126"/>
      <c r="N20" s="126"/>
      <c r="O20" s="126"/>
      <c r="P20" s="126"/>
      <c r="Q20" s="126"/>
      <c r="R20" s="126"/>
    </row>
    <row r="21" spans="1:18" ht="15.75" thickBot="1" x14ac:dyDescent="0.3">
      <c r="A21" s="124">
        <v>18</v>
      </c>
      <c r="B21" s="125" t="s">
        <v>267</v>
      </c>
      <c r="C21" s="126"/>
      <c r="D21" s="126"/>
      <c r="E21" s="126"/>
      <c r="F21" s="126"/>
      <c r="G21" s="126"/>
      <c r="H21" s="126"/>
      <c r="I21" s="126"/>
      <c r="J21" s="126"/>
      <c r="K21" s="126"/>
      <c r="L21" s="126"/>
      <c r="M21" s="126"/>
      <c r="N21" s="126"/>
      <c r="O21" s="126"/>
      <c r="P21" s="126"/>
      <c r="Q21" s="126"/>
      <c r="R21" s="126"/>
    </row>
    <row r="22" spans="1:18" ht="15.75" thickBot="1" x14ac:dyDescent="0.3">
      <c r="A22" s="124">
        <v>19</v>
      </c>
      <c r="B22" s="125" t="s">
        <v>268</v>
      </c>
      <c r="C22" s="126"/>
      <c r="D22" s="126"/>
      <c r="E22" s="126"/>
      <c r="F22" s="126"/>
      <c r="G22" s="126"/>
      <c r="H22" s="126"/>
      <c r="I22" s="126"/>
      <c r="J22" s="126"/>
      <c r="K22" s="126"/>
      <c r="L22" s="126"/>
      <c r="M22" s="126"/>
      <c r="N22" s="126"/>
      <c r="O22" s="126"/>
      <c r="P22" s="126"/>
      <c r="Q22" s="126"/>
      <c r="R22" s="126"/>
    </row>
    <row r="23" spans="1:18" ht="15.75" thickBot="1" x14ac:dyDescent="0.3">
      <c r="A23" s="128" t="s">
        <v>269</v>
      </c>
      <c r="B23" s="129"/>
      <c r="C23" s="126">
        <f>IF(AND(COUNTA(C4:C22)&gt;=0,COUNTA(C4:C22)&lt;19),0+COUNTA(C4:C22),19)</f>
        <v>0</v>
      </c>
      <c r="D23" s="126">
        <f t="shared" ref="D23:L23" si="0">IF(AND(COUNTA(D4:D22)&gt;=0,COUNTA(D4:D22)&lt;19),0+COUNTA(D4:D22),19)</f>
        <v>0</v>
      </c>
      <c r="E23" s="126">
        <f t="shared" si="0"/>
        <v>0</v>
      </c>
      <c r="F23" s="126">
        <f t="shared" si="0"/>
        <v>0</v>
      </c>
      <c r="G23" s="126">
        <f t="shared" si="0"/>
        <v>0</v>
      </c>
      <c r="H23" s="126">
        <f t="shared" si="0"/>
        <v>0</v>
      </c>
      <c r="I23" s="126">
        <f t="shared" si="0"/>
        <v>0</v>
      </c>
      <c r="J23" s="126">
        <f t="shared" si="0"/>
        <v>0</v>
      </c>
      <c r="K23" s="126">
        <f t="shared" si="0"/>
        <v>0</v>
      </c>
      <c r="L23" s="126">
        <f t="shared" si="0"/>
        <v>0</v>
      </c>
      <c r="M23" s="126">
        <f t="shared" ref="M23" si="1">IF(AND(COUNTA(M4:M22)&gt;=0,COUNTA(M4:M22)&lt;19),0+COUNTA(M4:M22),19)</f>
        <v>0</v>
      </c>
      <c r="N23" s="126">
        <f t="shared" ref="N23" si="2">IF(AND(COUNTA(N4:N22)&gt;=0,COUNTA(N4:N22)&lt;19),0+COUNTA(N4:N22),19)</f>
        <v>0</v>
      </c>
      <c r="O23" s="126">
        <f t="shared" ref="O23" si="3">IF(AND(COUNTA(O4:O22)&gt;=0,COUNTA(O4:O22)&lt;19),0+COUNTA(O4:O22),19)</f>
        <v>0</v>
      </c>
      <c r="P23" s="126">
        <f t="shared" ref="P23" si="4">IF(AND(COUNTA(P4:P22)&gt;=0,COUNTA(P4:P22)&lt;19),0+COUNTA(P4:P22),19)</f>
        <v>0</v>
      </c>
      <c r="Q23" s="126">
        <f t="shared" ref="Q23" si="5">IF(AND(COUNTA(Q4:Q22)&gt;=0,COUNTA(Q4:Q22)&lt;19),0+COUNTA(Q4:Q22),19)</f>
        <v>0</v>
      </c>
      <c r="R23" s="126">
        <f t="shared" ref="R23" si="6">IF(AND(COUNTA(R4:R22)&gt;=0,COUNTA(R4:R22)&lt;19),0+COUNTA(R4:R22),19)</f>
        <v>0</v>
      </c>
    </row>
    <row r="24" spans="1:18" ht="15.75" thickBot="1" x14ac:dyDescent="0.3"/>
    <row r="25" spans="1:18" ht="15.75" thickBot="1" x14ac:dyDescent="0.3">
      <c r="A25" s="551" t="s">
        <v>270</v>
      </c>
      <c r="B25" s="552"/>
      <c r="C25" s="553"/>
      <c r="D25" s="189"/>
    </row>
    <row r="26" spans="1:18" ht="37.5" customHeight="1" thickBot="1" x14ac:dyDescent="0.3">
      <c r="A26" s="130" t="s">
        <v>271</v>
      </c>
      <c r="B26" s="131" t="s">
        <v>65</v>
      </c>
      <c r="C26" s="131" t="s">
        <v>272</v>
      </c>
      <c r="D26" s="190"/>
    </row>
    <row r="27" spans="1:18" ht="15.75" thickBot="1" x14ac:dyDescent="0.3">
      <c r="A27" s="132" t="s">
        <v>81</v>
      </c>
      <c r="B27" s="133" t="s">
        <v>273</v>
      </c>
      <c r="C27" s="134" t="s">
        <v>274</v>
      </c>
      <c r="D27" s="191"/>
    </row>
    <row r="28" spans="1:18" ht="15.75" thickBot="1" x14ac:dyDescent="0.3">
      <c r="A28" s="132" t="s">
        <v>275</v>
      </c>
      <c r="B28" s="133" t="s">
        <v>276</v>
      </c>
      <c r="C28" s="135" t="s">
        <v>277</v>
      </c>
      <c r="D28" s="192"/>
    </row>
    <row r="29" spans="1:18" ht="15.75" thickBot="1" x14ac:dyDescent="0.3">
      <c r="A29" s="132" t="s">
        <v>85</v>
      </c>
      <c r="B29" s="133" t="s">
        <v>278</v>
      </c>
      <c r="C29" s="136" t="s">
        <v>279</v>
      </c>
      <c r="D29" s="193"/>
    </row>
    <row r="32" spans="1:18" x14ac:dyDescent="0.25">
      <c r="A32" s="188" t="s">
        <v>248</v>
      </c>
    </row>
    <row r="33" spans="1:1" x14ac:dyDescent="0.25">
      <c r="A33" s="188" t="s">
        <v>249</v>
      </c>
    </row>
  </sheetData>
  <mergeCells count="2">
    <mergeCell ref="A2:E2"/>
    <mergeCell ref="A25:C25"/>
  </mergeCells>
  <conditionalFormatting sqref="C23:R23">
    <cfRule type="cellIs" dxfId="2" priority="4" operator="between">
      <formula>12</formula>
      <formula>19</formula>
    </cfRule>
    <cfRule type="cellIs" dxfId="1" priority="5" operator="between">
      <formula>6</formula>
      <formula>11</formula>
    </cfRule>
    <cfRule type="cellIs" dxfId="0" priority="6" operator="between">
      <formula>1</formula>
      <formula>5</formula>
    </cfRule>
  </conditionalFormatting>
  <dataValidations disablePrompts="1" count="1">
    <dataValidation type="list" allowBlank="1" showInputMessage="1" showErrorMessage="1" sqref="C4:R22" xr:uid="{00000000-0002-0000-0900-000000000000}">
      <formula1>$A$32:$A$33</formula1>
    </dataValidation>
  </dataValidations>
  <pageMargins left="0.7" right="0.7" top="0.75" bottom="0.75" header="0.3" footer="0.3"/>
  <pageSetup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
  <sheetViews>
    <sheetView showGridLines="0" workbookViewId="0">
      <selection activeCell="F6" sqref="F6"/>
    </sheetView>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E43"/>
  <sheetViews>
    <sheetView topLeftCell="A19" workbookViewId="0">
      <selection activeCell="B39" sqref="B39"/>
    </sheetView>
  </sheetViews>
  <sheetFormatPr baseColWidth="10" defaultRowHeight="15" x14ac:dyDescent="0.25"/>
  <cols>
    <col min="2" max="2" width="104.42578125" customWidth="1"/>
    <col min="3" max="3" width="22.140625" customWidth="1"/>
  </cols>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2" spans="2:5" x14ac:dyDescent="0.25">
      <c r="B12" t="s">
        <v>354</v>
      </c>
    </row>
    <row r="13" spans="2:5" x14ac:dyDescent="0.25">
      <c r="B13" t="s">
        <v>129</v>
      </c>
    </row>
    <row r="14" spans="2:5" x14ac:dyDescent="0.25">
      <c r="B14" t="s">
        <v>123</v>
      </c>
    </row>
    <row r="15" spans="2:5" x14ac:dyDescent="0.25">
      <c r="B15" t="s">
        <v>126</v>
      </c>
    </row>
    <row r="16" spans="2:5" x14ac:dyDescent="0.25">
      <c r="B16" t="s">
        <v>124</v>
      </c>
    </row>
    <row r="17" spans="1:5" x14ac:dyDescent="0.25">
      <c r="B17" t="s">
        <v>125</v>
      </c>
    </row>
    <row r="18" spans="1:5" x14ac:dyDescent="0.25">
      <c r="B18" t="s">
        <v>127</v>
      </c>
    </row>
    <row r="19" spans="1:5" x14ac:dyDescent="0.25">
      <c r="B19" t="s">
        <v>128</v>
      </c>
    </row>
    <row r="20" spans="1:5" x14ac:dyDescent="0.25">
      <c r="B20" t="s">
        <v>353</v>
      </c>
    </row>
    <row r="22" spans="1:5" ht="26.25" thickBot="1" x14ac:dyDescent="0.3">
      <c r="B22" s="121" t="s">
        <v>223</v>
      </c>
      <c r="C22" s="121" t="s">
        <v>280</v>
      </c>
      <c r="D22" s="143" t="s">
        <v>217</v>
      </c>
      <c r="E22" s="121" t="s">
        <v>215</v>
      </c>
    </row>
    <row r="23" spans="1:5" ht="26.25" thickBot="1" x14ac:dyDescent="0.3">
      <c r="A23" s="121" t="s">
        <v>215</v>
      </c>
      <c r="B23" s="121" t="s">
        <v>224</v>
      </c>
      <c r="C23" s="121" t="s">
        <v>281</v>
      </c>
      <c r="D23" s="143" t="s">
        <v>301</v>
      </c>
      <c r="E23" s="121" t="s">
        <v>226</v>
      </c>
    </row>
    <row r="24" spans="1:5" ht="26.25" thickBot="1" x14ac:dyDescent="0.3">
      <c r="A24" s="121" t="s">
        <v>215</v>
      </c>
      <c r="B24" s="121" t="s">
        <v>216</v>
      </c>
      <c r="C24" s="121" t="s">
        <v>282</v>
      </c>
      <c r="E24" s="121" t="s">
        <v>228</v>
      </c>
    </row>
    <row r="25" spans="1:5" ht="26.25" thickBot="1" x14ac:dyDescent="0.3">
      <c r="A25" s="121" t="s">
        <v>215</v>
      </c>
      <c r="B25" s="121" t="s">
        <v>225</v>
      </c>
      <c r="C25" s="121" t="s">
        <v>283</v>
      </c>
      <c r="E25" s="121" t="s">
        <v>230</v>
      </c>
    </row>
    <row r="26" spans="1:5" ht="26.25" thickBot="1" x14ac:dyDescent="0.3">
      <c r="A26" s="121" t="s">
        <v>215</v>
      </c>
      <c r="B26" s="121" t="s">
        <v>218</v>
      </c>
      <c r="C26" s="121" t="s">
        <v>220</v>
      </c>
    </row>
    <row r="27" spans="1:5" ht="15.75" thickBot="1" x14ac:dyDescent="0.3">
      <c r="A27" s="121" t="s">
        <v>226</v>
      </c>
      <c r="B27" s="121" t="s">
        <v>227</v>
      </c>
      <c r="C27" s="121" t="s">
        <v>284</v>
      </c>
    </row>
    <row r="28" spans="1:5" ht="15.75" thickBot="1" x14ac:dyDescent="0.3">
      <c r="A28" s="121" t="s">
        <v>228</v>
      </c>
      <c r="B28" s="121" t="s">
        <v>229</v>
      </c>
      <c r="C28" s="121" t="s">
        <v>285</v>
      </c>
    </row>
    <row r="29" spans="1:5" ht="15.75" thickBot="1" x14ac:dyDescent="0.3">
      <c r="A29" s="121" t="s">
        <v>230</v>
      </c>
      <c r="B29" s="121" t="s">
        <v>231</v>
      </c>
      <c r="C29" s="121" t="s">
        <v>286</v>
      </c>
    </row>
    <row r="30" spans="1:5" ht="15.75" thickBot="1" x14ac:dyDescent="0.3">
      <c r="A30" s="121" t="s">
        <v>228</v>
      </c>
      <c r="B30" s="121" t="s">
        <v>232</v>
      </c>
      <c r="C30" s="121" t="s">
        <v>287</v>
      </c>
    </row>
    <row r="31" spans="1:5" ht="15.75" thickBot="1" x14ac:dyDescent="0.3">
      <c r="A31" s="121" t="s">
        <v>228</v>
      </c>
      <c r="B31" s="121" t="s">
        <v>233</v>
      </c>
      <c r="C31" s="121" t="s">
        <v>288</v>
      </c>
    </row>
    <row r="32" spans="1:5" ht="15.75" thickBot="1" x14ac:dyDescent="0.3">
      <c r="A32" s="121" t="s">
        <v>228</v>
      </c>
      <c r="B32" s="121" t="s">
        <v>234</v>
      </c>
      <c r="C32" s="121" t="s">
        <v>289</v>
      </c>
    </row>
    <row r="33" spans="1:3" ht="15.75" thickBot="1" x14ac:dyDescent="0.3">
      <c r="A33" s="121" t="s">
        <v>230</v>
      </c>
      <c r="B33" s="121" t="s">
        <v>235</v>
      </c>
      <c r="C33" s="121" t="s">
        <v>290</v>
      </c>
    </row>
    <row r="34" spans="1:3" ht="15.75" thickBot="1" x14ac:dyDescent="0.3">
      <c r="A34" s="121" t="s">
        <v>230</v>
      </c>
      <c r="B34" s="121" t="s">
        <v>236</v>
      </c>
      <c r="C34" s="121" t="s">
        <v>291</v>
      </c>
    </row>
    <row r="35" spans="1:3" ht="15.75" thickBot="1" x14ac:dyDescent="0.3">
      <c r="A35" s="121" t="s">
        <v>230</v>
      </c>
      <c r="B35" s="121" t="s">
        <v>237</v>
      </c>
      <c r="C35" s="121" t="s">
        <v>292</v>
      </c>
    </row>
    <row r="36" spans="1:3" ht="15.75" thickBot="1" x14ac:dyDescent="0.3">
      <c r="A36" s="121" t="s">
        <v>230</v>
      </c>
      <c r="B36" s="121" t="s">
        <v>238</v>
      </c>
      <c r="C36" s="121" t="s">
        <v>293</v>
      </c>
    </row>
    <row r="37" spans="1:3" ht="15.75" thickBot="1" x14ac:dyDescent="0.3">
      <c r="A37" s="121" t="s">
        <v>230</v>
      </c>
      <c r="B37" s="121" t="s">
        <v>239</v>
      </c>
      <c r="C37" s="121" t="s">
        <v>294</v>
      </c>
    </row>
    <row r="38" spans="1:3" ht="15.75" thickBot="1" x14ac:dyDescent="0.3">
      <c r="A38" s="121" t="s">
        <v>230</v>
      </c>
      <c r="B38" s="121" t="s">
        <v>240</v>
      </c>
      <c r="C38" s="121" t="s">
        <v>295</v>
      </c>
    </row>
    <row r="39" spans="1:3" ht="15.75" thickBot="1" x14ac:dyDescent="0.3">
      <c r="A39" s="121" t="s">
        <v>228</v>
      </c>
      <c r="B39" s="121" t="s">
        <v>371</v>
      </c>
      <c r="C39" s="121" t="s">
        <v>296</v>
      </c>
    </row>
    <row r="40" spans="1:3" ht="15.75" thickBot="1" x14ac:dyDescent="0.3">
      <c r="A40" s="121" t="s">
        <v>228</v>
      </c>
      <c r="B40" s="121" t="s">
        <v>241</v>
      </c>
      <c r="C40" s="121" t="s">
        <v>297</v>
      </c>
    </row>
    <row r="41" spans="1:3" ht="15.75" thickBot="1" x14ac:dyDescent="0.3">
      <c r="A41" s="121" t="s">
        <v>228</v>
      </c>
      <c r="B41" s="121" t="s">
        <v>242</v>
      </c>
      <c r="C41" s="121" t="s">
        <v>298</v>
      </c>
    </row>
    <row r="42" spans="1:3" ht="15.75" thickBot="1" x14ac:dyDescent="0.3">
      <c r="A42" s="121" t="s">
        <v>228</v>
      </c>
      <c r="B42" s="121" t="s">
        <v>243</v>
      </c>
      <c r="C42" s="121" t="s">
        <v>299</v>
      </c>
    </row>
    <row r="43" spans="1:3" ht="15.75" thickBot="1" x14ac:dyDescent="0.3">
      <c r="A43" s="121" t="s">
        <v>228</v>
      </c>
      <c r="B43" s="121" t="s">
        <v>244</v>
      </c>
      <c r="C43" s="121" t="s">
        <v>300</v>
      </c>
    </row>
  </sheetData>
  <sortState xmlns:xlrd2="http://schemas.microsoft.com/office/spreadsheetml/2017/richdata2" ref="B2:B5">
    <sortCondition ref="B2:B5"/>
  </sortState>
  <dataValidations count="1">
    <dataValidation type="list" allowBlank="1" showInputMessage="1" showErrorMessage="1" sqref="B25" xr:uid="{00000000-0002-0000-0B00-000000000000}">
      <formula1>$A$22:$A$43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3:A21"/>
  <sheetViews>
    <sheetView topLeftCell="A4" workbookViewId="0">
      <selection activeCell="A10" sqref="A10"/>
    </sheetView>
  </sheetViews>
  <sheetFormatPr baseColWidth="10"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40</v>
      </c>
    </row>
    <row r="21" spans="1:1" x14ac:dyDescent="0.2">
      <c r="A21" s="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3:H54"/>
  <sheetViews>
    <sheetView view="pageBreakPreview" zoomScale="86" zoomScaleNormal="110" zoomScaleSheetLayoutView="86" workbookViewId="0">
      <selection activeCell="C19" sqref="C19:D19"/>
    </sheetView>
  </sheetViews>
  <sheetFormatPr baseColWidth="10" defaultRowHeight="15" x14ac:dyDescent="0.2"/>
  <cols>
    <col min="1" max="1" width="2.85546875" style="149" customWidth="1"/>
    <col min="2" max="6" width="38.140625" style="149" customWidth="1"/>
    <col min="7" max="7" width="8.140625" style="149" customWidth="1"/>
    <col min="8" max="8" width="5.85546875" style="149" customWidth="1"/>
    <col min="9" max="16384" width="11.42578125" style="149"/>
  </cols>
  <sheetData>
    <row r="3" spans="2:8" ht="15.75" thickBot="1" x14ac:dyDescent="0.25"/>
    <row r="4" spans="2:8" ht="20.25" x14ac:dyDescent="0.2">
      <c r="B4" s="230" t="s">
        <v>326</v>
      </c>
      <c r="C4" s="231"/>
      <c r="D4" s="231"/>
      <c r="E4" s="231"/>
      <c r="F4" s="231"/>
      <c r="G4" s="231"/>
      <c r="H4" s="232"/>
    </row>
    <row r="5" spans="2:8" x14ac:dyDescent="0.2">
      <c r="B5" s="150"/>
      <c r="C5" s="151"/>
      <c r="D5" s="151"/>
      <c r="E5" s="151"/>
      <c r="F5" s="151"/>
      <c r="G5" s="151"/>
      <c r="H5" s="152"/>
    </row>
    <row r="6" spans="2:8" ht="63" customHeight="1" x14ac:dyDescent="0.2">
      <c r="B6" s="233" t="s">
        <v>341</v>
      </c>
      <c r="C6" s="234"/>
      <c r="D6" s="234"/>
      <c r="E6" s="234"/>
      <c r="F6" s="234"/>
      <c r="G6" s="234"/>
      <c r="H6" s="235"/>
    </row>
    <row r="7" spans="2:8" ht="97.5" customHeight="1" x14ac:dyDescent="0.2">
      <c r="B7" s="236"/>
      <c r="C7" s="237"/>
      <c r="D7" s="237"/>
      <c r="E7" s="237"/>
      <c r="F7" s="237"/>
      <c r="G7" s="237"/>
      <c r="H7" s="238"/>
    </row>
    <row r="8" spans="2:8" x14ac:dyDescent="0.2">
      <c r="B8" s="239" t="s">
        <v>162</v>
      </c>
      <c r="C8" s="240"/>
      <c r="D8" s="240"/>
      <c r="E8" s="240"/>
      <c r="F8" s="240"/>
      <c r="G8" s="240"/>
      <c r="H8" s="241"/>
    </row>
    <row r="9" spans="2:8" ht="126.75" customHeight="1" x14ac:dyDescent="0.2">
      <c r="B9" s="242" t="s">
        <v>342</v>
      </c>
      <c r="C9" s="243"/>
      <c r="D9" s="243"/>
      <c r="E9" s="243"/>
      <c r="F9" s="243"/>
      <c r="G9" s="243"/>
      <c r="H9" s="244"/>
    </row>
    <row r="10" spans="2:8" x14ac:dyDescent="0.2">
      <c r="B10" s="153"/>
      <c r="C10" s="154"/>
      <c r="D10" s="154"/>
      <c r="E10" s="154"/>
      <c r="F10" s="154"/>
      <c r="G10" s="154"/>
      <c r="H10" s="155"/>
    </row>
    <row r="11" spans="2:8" ht="16.5" customHeight="1" x14ac:dyDescent="0.2">
      <c r="B11" s="245" t="s">
        <v>343</v>
      </c>
      <c r="C11" s="246"/>
      <c r="D11" s="246"/>
      <c r="E11" s="246"/>
      <c r="F11" s="246"/>
      <c r="G11" s="246"/>
      <c r="H11" s="247"/>
    </row>
    <row r="12" spans="2:8" ht="44.25" customHeight="1" x14ac:dyDescent="0.2">
      <c r="B12" s="245"/>
      <c r="C12" s="246"/>
      <c r="D12" s="246"/>
      <c r="E12" s="246"/>
      <c r="F12" s="246"/>
      <c r="G12" s="246"/>
      <c r="H12" s="247"/>
    </row>
    <row r="13" spans="2:8" ht="15.75" thickBot="1" x14ac:dyDescent="0.25">
      <c r="B13" s="156"/>
      <c r="C13" s="157"/>
      <c r="D13" s="158"/>
      <c r="E13" s="158"/>
      <c r="F13" s="158"/>
      <c r="G13" s="159"/>
      <c r="H13" s="160"/>
    </row>
    <row r="14" spans="2:8" ht="15.75" thickTop="1" x14ac:dyDescent="0.2">
      <c r="B14" s="156"/>
      <c r="C14" s="226" t="s">
        <v>163</v>
      </c>
      <c r="D14" s="227"/>
      <c r="E14" s="228" t="s">
        <v>201</v>
      </c>
      <c r="F14" s="229"/>
      <c r="G14" s="157"/>
      <c r="H14" s="160"/>
    </row>
    <row r="15" spans="2:8" ht="36.75" customHeight="1" x14ac:dyDescent="0.2">
      <c r="B15" s="156"/>
      <c r="C15" s="248" t="s">
        <v>194</v>
      </c>
      <c r="D15" s="249"/>
      <c r="E15" s="250" t="s">
        <v>199</v>
      </c>
      <c r="F15" s="251"/>
      <c r="G15" s="157"/>
      <c r="H15" s="160"/>
    </row>
    <row r="16" spans="2:8" ht="17.25" customHeight="1" x14ac:dyDescent="0.2">
      <c r="B16" s="156"/>
      <c r="C16" s="248" t="s">
        <v>195</v>
      </c>
      <c r="D16" s="249"/>
      <c r="E16" s="250" t="s">
        <v>197</v>
      </c>
      <c r="F16" s="251"/>
      <c r="G16" s="157"/>
      <c r="H16" s="160"/>
    </row>
    <row r="17" spans="2:8" ht="19.5" customHeight="1" x14ac:dyDescent="0.2">
      <c r="B17" s="156"/>
      <c r="C17" s="248" t="s">
        <v>196</v>
      </c>
      <c r="D17" s="249"/>
      <c r="E17" s="250" t="s">
        <v>198</v>
      </c>
      <c r="F17" s="251"/>
      <c r="G17" s="157"/>
      <c r="H17" s="160"/>
    </row>
    <row r="18" spans="2:8" ht="19.5" customHeight="1" x14ac:dyDescent="0.2">
      <c r="B18" s="156"/>
      <c r="C18" s="248" t="s">
        <v>327</v>
      </c>
      <c r="D18" s="249"/>
      <c r="E18" s="252" t="s">
        <v>328</v>
      </c>
      <c r="F18" s="253"/>
      <c r="G18" s="157"/>
      <c r="H18" s="160"/>
    </row>
    <row r="19" spans="2:8" ht="98.25" customHeight="1" x14ac:dyDescent="0.2">
      <c r="B19" s="156"/>
      <c r="C19" s="254" t="s">
        <v>165</v>
      </c>
      <c r="D19" s="255"/>
      <c r="E19" s="250" t="s">
        <v>166</v>
      </c>
      <c r="F19" s="251"/>
      <c r="G19" s="157"/>
      <c r="H19" s="160"/>
    </row>
    <row r="20" spans="2:8" ht="51.75" customHeight="1" x14ac:dyDescent="0.2">
      <c r="B20" s="156"/>
      <c r="C20" s="256" t="s">
        <v>194</v>
      </c>
      <c r="D20" s="257"/>
      <c r="E20" s="250" t="s">
        <v>329</v>
      </c>
      <c r="F20" s="251"/>
      <c r="G20" s="157"/>
      <c r="H20" s="160"/>
    </row>
    <row r="21" spans="2:8" ht="58.5" customHeight="1" x14ac:dyDescent="0.2">
      <c r="B21" s="156"/>
      <c r="C21" s="256" t="s">
        <v>212</v>
      </c>
      <c r="D21" s="257"/>
      <c r="E21" s="250" t="s">
        <v>330</v>
      </c>
      <c r="F21" s="251"/>
      <c r="G21" s="157"/>
      <c r="H21" s="160"/>
    </row>
    <row r="22" spans="2:8" ht="34.5" customHeight="1" x14ac:dyDescent="0.2">
      <c r="B22" s="156"/>
      <c r="C22" s="258" t="s">
        <v>2</v>
      </c>
      <c r="D22" s="259"/>
      <c r="E22" s="260" t="s">
        <v>208</v>
      </c>
      <c r="F22" s="261"/>
      <c r="G22" s="157"/>
      <c r="H22" s="160"/>
    </row>
    <row r="23" spans="2:8" ht="48.75" customHeight="1" x14ac:dyDescent="0.2">
      <c r="B23" s="156"/>
      <c r="C23" s="258" t="s">
        <v>3</v>
      </c>
      <c r="D23" s="259"/>
      <c r="E23" s="260" t="s">
        <v>209</v>
      </c>
      <c r="F23" s="261"/>
      <c r="G23" s="157"/>
      <c r="H23" s="160"/>
    </row>
    <row r="24" spans="2:8" ht="42" customHeight="1" x14ac:dyDescent="0.2">
      <c r="B24" s="156"/>
      <c r="C24" s="258" t="s">
        <v>42</v>
      </c>
      <c r="D24" s="259"/>
      <c r="E24" s="260" t="s">
        <v>210</v>
      </c>
      <c r="F24" s="261"/>
      <c r="G24" s="157"/>
      <c r="H24" s="160"/>
    </row>
    <row r="25" spans="2:8" ht="61.5" customHeight="1" x14ac:dyDescent="0.2">
      <c r="B25" s="156"/>
      <c r="C25" s="258" t="s">
        <v>331</v>
      </c>
      <c r="D25" s="259"/>
      <c r="E25" s="260" t="s">
        <v>332</v>
      </c>
      <c r="F25" s="261"/>
      <c r="G25" s="157"/>
      <c r="H25" s="160"/>
    </row>
    <row r="26" spans="2:8" ht="98.25" customHeight="1" x14ac:dyDescent="0.2">
      <c r="B26" s="156"/>
      <c r="C26" s="262" t="s">
        <v>1</v>
      </c>
      <c r="D26" s="263"/>
      <c r="E26" s="260" t="s">
        <v>344</v>
      </c>
      <c r="F26" s="261"/>
      <c r="G26" s="157"/>
      <c r="H26" s="160"/>
    </row>
    <row r="27" spans="2:8" ht="96" customHeight="1" x14ac:dyDescent="0.2">
      <c r="B27" s="156"/>
      <c r="C27" s="258" t="s">
        <v>50</v>
      </c>
      <c r="D27" s="259"/>
      <c r="E27" s="260" t="s">
        <v>169</v>
      </c>
      <c r="F27" s="261"/>
      <c r="G27" s="157"/>
      <c r="H27" s="160"/>
    </row>
    <row r="28" spans="2:8" ht="81" customHeight="1" x14ac:dyDescent="0.2">
      <c r="B28" s="156"/>
      <c r="C28" s="258" t="s">
        <v>168</v>
      </c>
      <c r="D28" s="259"/>
      <c r="E28" s="260" t="s">
        <v>170</v>
      </c>
      <c r="F28" s="261"/>
      <c r="G28" s="157"/>
      <c r="H28" s="160"/>
    </row>
    <row r="29" spans="2:8" ht="75" customHeight="1" x14ac:dyDescent="0.2">
      <c r="B29" s="156"/>
      <c r="C29" s="262" t="s">
        <v>171</v>
      </c>
      <c r="D29" s="263"/>
      <c r="E29" s="260" t="s">
        <v>172</v>
      </c>
      <c r="F29" s="261"/>
      <c r="G29" s="157"/>
      <c r="H29" s="160"/>
    </row>
    <row r="30" spans="2:8" ht="53.25" customHeight="1" x14ac:dyDescent="0.2">
      <c r="B30" s="156"/>
      <c r="C30" s="262" t="s">
        <v>48</v>
      </c>
      <c r="D30" s="263"/>
      <c r="E30" s="260" t="s">
        <v>173</v>
      </c>
      <c r="F30" s="261"/>
      <c r="G30" s="157"/>
      <c r="H30" s="160"/>
    </row>
    <row r="31" spans="2:8" ht="63" customHeight="1" x14ac:dyDescent="0.2">
      <c r="B31" s="156"/>
      <c r="C31" s="262" t="s">
        <v>161</v>
      </c>
      <c r="D31" s="263"/>
      <c r="E31" s="260" t="s">
        <v>345</v>
      </c>
      <c r="F31" s="261"/>
      <c r="G31" s="157"/>
      <c r="H31" s="160"/>
    </row>
    <row r="32" spans="2:8" ht="23.25" customHeight="1" x14ac:dyDescent="0.2">
      <c r="B32" s="156"/>
      <c r="C32" s="262" t="s">
        <v>12</v>
      </c>
      <c r="D32" s="263"/>
      <c r="E32" s="260" t="s">
        <v>175</v>
      </c>
      <c r="F32" s="261"/>
      <c r="G32" s="157"/>
      <c r="H32" s="160"/>
    </row>
    <row r="33" spans="2:8" ht="30.75" customHeight="1" x14ac:dyDescent="0.2">
      <c r="B33" s="156"/>
      <c r="C33" s="262" t="s">
        <v>333</v>
      </c>
      <c r="D33" s="263"/>
      <c r="E33" s="260" t="s">
        <v>176</v>
      </c>
      <c r="F33" s="261"/>
      <c r="G33" s="157"/>
      <c r="H33" s="160"/>
    </row>
    <row r="34" spans="2:8" ht="35.25" customHeight="1" x14ac:dyDescent="0.2">
      <c r="B34" s="156"/>
      <c r="C34" s="262" t="s">
        <v>334</v>
      </c>
      <c r="D34" s="263"/>
      <c r="E34" s="260" t="s">
        <v>177</v>
      </c>
      <c r="F34" s="261"/>
      <c r="G34" s="157"/>
      <c r="H34" s="160"/>
    </row>
    <row r="35" spans="2:8" ht="33" customHeight="1" x14ac:dyDescent="0.2">
      <c r="B35" s="156"/>
      <c r="C35" s="262" t="s">
        <v>334</v>
      </c>
      <c r="D35" s="263"/>
      <c r="E35" s="260" t="s">
        <v>177</v>
      </c>
      <c r="F35" s="261"/>
      <c r="G35" s="157"/>
      <c r="H35" s="160"/>
    </row>
    <row r="36" spans="2:8" ht="30" customHeight="1" x14ac:dyDescent="0.2">
      <c r="B36" s="156"/>
      <c r="C36" s="262" t="s">
        <v>335</v>
      </c>
      <c r="D36" s="263"/>
      <c r="E36" s="260" t="s">
        <v>178</v>
      </c>
      <c r="F36" s="261"/>
      <c r="G36" s="157"/>
      <c r="H36" s="160"/>
    </row>
    <row r="37" spans="2:8" ht="35.25" customHeight="1" x14ac:dyDescent="0.2">
      <c r="B37" s="156"/>
      <c r="C37" s="262" t="s">
        <v>336</v>
      </c>
      <c r="D37" s="263"/>
      <c r="E37" s="260" t="s">
        <v>183</v>
      </c>
      <c r="F37" s="261"/>
      <c r="G37" s="157"/>
      <c r="H37" s="160"/>
    </row>
    <row r="38" spans="2:8" ht="31.5" customHeight="1" x14ac:dyDescent="0.2">
      <c r="B38" s="156"/>
      <c r="C38" s="262" t="s">
        <v>337</v>
      </c>
      <c r="D38" s="263"/>
      <c r="E38" s="260" t="s">
        <v>185</v>
      </c>
      <c r="F38" s="261"/>
      <c r="G38" s="157"/>
      <c r="H38" s="160"/>
    </row>
    <row r="39" spans="2:8" ht="35.25" customHeight="1" x14ac:dyDescent="0.2">
      <c r="B39" s="156"/>
      <c r="C39" s="262" t="s">
        <v>338</v>
      </c>
      <c r="D39" s="263"/>
      <c r="E39" s="260" t="s">
        <v>187</v>
      </c>
      <c r="F39" s="261"/>
      <c r="G39" s="157"/>
      <c r="H39" s="160"/>
    </row>
    <row r="40" spans="2:8" ht="59.25" customHeight="1" x14ac:dyDescent="0.2">
      <c r="B40" s="156"/>
      <c r="C40" s="262" t="s">
        <v>188</v>
      </c>
      <c r="D40" s="263"/>
      <c r="E40" s="260" t="s">
        <v>346</v>
      </c>
      <c r="F40" s="261"/>
      <c r="G40" s="157"/>
      <c r="H40" s="160"/>
    </row>
    <row r="41" spans="2:8" ht="57" customHeight="1" x14ac:dyDescent="0.2">
      <c r="B41" s="156"/>
      <c r="C41" s="262" t="s">
        <v>29</v>
      </c>
      <c r="D41" s="263"/>
      <c r="E41" s="260" t="s">
        <v>190</v>
      </c>
      <c r="F41" s="261"/>
      <c r="G41" s="157"/>
      <c r="H41" s="160"/>
    </row>
    <row r="42" spans="2:8" ht="111" customHeight="1" x14ac:dyDescent="0.2">
      <c r="B42" s="156"/>
      <c r="C42" s="262" t="s">
        <v>339</v>
      </c>
      <c r="D42" s="263"/>
      <c r="E42" s="260" t="s">
        <v>191</v>
      </c>
      <c r="F42" s="261"/>
      <c r="G42" s="157"/>
      <c r="H42" s="160"/>
    </row>
    <row r="43" spans="2:8" ht="69" customHeight="1" x14ac:dyDescent="0.2">
      <c r="B43" s="156"/>
      <c r="C43" s="262" t="s">
        <v>39</v>
      </c>
      <c r="D43" s="263"/>
      <c r="E43" s="260" t="s">
        <v>193</v>
      </c>
      <c r="F43" s="261"/>
      <c r="G43" s="157"/>
      <c r="H43" s="160"/>
    </row>
    <row r="44" spans="2:8" ht="6.75" customHeight="1" thickBot="1" x14ac:dyDescent="0.25">
      <c r="B44" s="156"/>
      <c r="C44" s="264"/>
      <c r="D44" s="265"/>
      <c r="E44" s="266"/>
      <c r="F44" s="267"/>
      <c r="G44" s="157"/>
      <c r="H44" s="160"/>
    </row>
    <row r="45" spans="2:8" ht="15.75" thickTop="1" x14ac:dyDescent="0.2">
      <c r="B45" s="156"/>
      <c r="C45" s="161"/>
      <c r="D45" s="161"/>
      <c r="E45" s="162"/>
      <c r="F45" s="162"/>
      <c r="G45" s="157"/>
      <c r="H45" s="160"/>
    </row>
    <row r="46" spans="2:8" ht="35.25" customHeight="1" x14ac:dyDescent="0.2">
      <c r="B46" s="269" t="s">
        <v>347</v>
      </c>
      <c r="C46" s="270"/>
      <c r="D46" s="270"/>
      <c r="E46" s="270"/>
      <c r="F46" s="270"/>
      <c r="G46" s="270"/>
      <c r="H46" s="271"/>
    </row>
    <row r="47" spans="2:8" ht="32.25" customHeight="1" x14ac:dyDescent="0.2">
      <c r="B47" s="269" t="s">
        <v>348</v>
      </c>
      <c r="C47" s="270"/>
      <c r="D47" s="270"/>
      <c r="E47" s="270"/>
      <c r="F47" s="270"/>
      <c r="G47" s="270"/>
      <c r="H47" s="271"/>
    </row>
    <row r="48" spans="2:8" ht="21" customHeight="1" x14ac:dyDescent="0.2">
      <c r="B48" s="269" t="s">
        <v>349</v>
      </c>
      <c r="C48" s="270"/>
      <c r="D48" s="270"/>
      <c r="E48" s="270"/>
      <c r="F48" s="270"/>
      <c r="G48" s="270"/>
      <c r="H48" s="271"/>
    </row>
    <row r="49" spans="2:8" ht="18" customHeight="1" x14ac:dyDescent="0.2">
      <c r="B49" s="269" t="s">
        <v>350</v>
      </c>
      <c r="C49" s="270"/>
      <c r="D49" s="270"/>
      <c r="E49" s="270"/>
      <c r="F49" s="270"/>
      <c r="G49" s="270"/>
      <c r="H49" s="271"/>
    </row>
    <row r="50" spans="2:8" ht="18" customHeight="1" x14ac:dyDescent="0.2">
      <c r="B50" s="269" t="s">
        <v>351</v>
      </c>
      <c r="C50" s="270"/>
      <c r="D50" s="270"/>
      <c r="E50" s="270"/>
      <c r="F50" s="270"/>
      <c r="G50" s="270"/>
      <c r="H50" s="271"/>
    </row>
    <row r="51" spans="2:8" ht="18" customHeight="1" x14ac:dyDescent="0.2">
      <c r="B51" s="269" t="s">
        <v>352</v>
      </c>
      <c r="C51" s="270"/>
      <c r="D51" s="270"/>
      <c r="E51" s="270"/>
      <c r="F51" s="270"/>
      <c r="G51" s="270"/>
      <c r="H51" s="271"/>
    </row>
    <row r="52" spans="2:8" ht="15.75" thickBot="1" x14ac:dyDescent="0.25">
      <c r="B52" s="163"/>
      <c r="C52" s="164"/>
      <c r="D52" s="164"/>
      <c r="E52" s="164"/>
      <c r="F52" s="164"/>
      <c r="G52" s="164"/>
      <c r="H52" s="165"/>
    </row>
    <row r="54" spans="2:8" ht="48.75" customHeight="1" x14ac:dyDescent="0.2">
      <c r="B54" s="268" t="s">
        <v>340</v>
      </c>
      <c r="C54" s="268"/>
      <c r="D54" s="268"/>
      <c r="E54" s="268"/>
      <c r="F54" s="268"/>
      <c r="G54" s="268"/>
      <c r="H54" s="268"/>
    </row>
  </sheetData>
  <mergeCells count="74">
    <mergeCell ref="B54:H54"/>
    <mergeCell ref="B46:H46"/>
    <mergeCell ref="B47:H47"/>
    <mergeCell ref="B48:H48"/>
    <mergeCell ref="B49:H49"/>
    <mergeCell ref="B50:H50"/>
    <mergeCell ref="B51:H51"/>
    <mergeCell ref="C42:D42"/>
    <mergeCell ref="E42:F42"/>
    <mergeCell ref="C43:D43"/>
    <mergeCell ref="E43:F43"/>
    <mergeCell ref="C44:D44"/>
    <mergeCell ref="E44:F44"/>
    <mergeCell ref="C39:D39"/>
    <mergeCell ref="E39:F39"/>
    <mergeCell ref="C40:D40"/>
    <mergeCell ref="E40:F40"/>
    <mergeCell ref="C41:D41"/>
    <mergeCell ref="E41:F41"/>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C21:D21"/>
    <mergeCell ref="E21:F21"/>
    <mergeCell ref="C22:D22"/>
    <mergeCell ref="E22:F22"/>
    <mergeCell ref="C23:D23"/>
    <mergeCell ref="E23:F23"/>
    <mergeCell ref="C18:D18"/>
    <mergeCell ref="E18:F18"/>
    <mergeCell ref="C19:D19"/>
    <mergeCell ref="E19:F19"/>
    <mergeCell ref="C20:D20"/>
    <mergeCell ref="E20:F20"/>
    <mergeCell ref="C15:D15"/>
    <mergeCell ref="E15:F15"/>
    <mergeCell ref="C16:D16"/>
    <mergeCell ref="E16:F16"/>
    <mergeCell ref="C17:D17"/>
    <mergeCell ref="E17:F17"/>
    <mergeCell ref="C14:D14"/>
    <mergeCell ref="E14:F14"/>
    <mergeCell ref="B4:H4"/>
    <mergeCell ref="B6:H7"/>
    <mergeCell ref="B8:H8"/>
    <mergeCell ref="B9:H9"/>
    <mergeCell ref="B11:H12"/>
  </mergeCells>
  <pageMargins left="0.70866141732283472" right="0.53" top="0.39370078740157483" bottom="0.31496062992125984" header="0.31496062992125984" footer="0.31496062992125984"/>
  <pageSetup paperSize="5"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H45"/>
  <sheetViews>
    <sheetView zoomScale="110" zoomScaleNormal="110" workbookViewId="0">
      <selection activeCell="C13" sqref="C13:D13"/>
    </sheetView>
  </sheetViews>
  <sheetFormatPr baseColWidth="10"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289" t="s">
        <v>164</v>
      </c>
      <c r="C2" s="290"/>
      <c r="D2" s="290"/>
      <c r="E2" s="290"/>
      <c r="F2" s="290"/>
      <c r="G2" s="290"/>
      <c r="H2" s="291"/>
    </row>
    <row r="3" spans="2:8" x14ac:dyDescent="0.25">
      <c r="B3" s="70"/>
      <c r="C3" s="71"/>
      <c r="D3" s="71"/>
      <c r="E3" s="71"/>
      <c r="F3" s="71"/>
      <c r="G3" s="71"/>
      <c r="H3" s="72"/>
    </row>
    <row r="4" spans="2:8" ht="63" customHeight="1" x14ac:dyDescent="0.25">
      <c r="B4" s="292" t="s">
        <v>207</v>
      </c>
      <c r="C4" s="293"/>
      <c r="D4" s="293"/>
      <c r="E4" s="293"/>
      <c r="F4" s="293"/>
      <c r="G4" s="293"/>
      <c r="H4" s="294"/>
    </row>
    <row r="5" spans="2:8" ht="63" customHeight="1" x14ac:dyDescent="0.25">
      <c r="B5" s="295"/>
      <c r="C5" s="296"/>
      <c r="D5" s="296"/>
      <c r="E5" s="296"/>
      <c r="F5" s="296"/>
      <c r="G5" s="296"/>
      <c r="H5" s="297"/>
    </row>
    <row r="6" spans="2:8" ht="16.5" x14ac:dyDescent="0.25">
      <c r="B6" s="298" t="s">
        <v>162</v>
      </c>
      <c r="C6" s="299"/>
      <c r="D6" s="299"/>
      <c r="E6" s="299"/>
      <c r="F6" s="299"/>
      <c r="G6" s="299"/>
      <c r="H6" s="300"/>
    </row>
    <row r="7" spans="2:8" ht="95.25" customHeight="1" x14ac:dyDescent="0.25">
      <c r="B7" s="308" t="s">
        <v>167</v>
      </c>
      <c r="C7" s="309"/>
      <c r="D7" s="309"/>
      <c r="E7" s="309"/>
      <c r="F7" s="309"/>
      <c r="G7" s="309"/>
      <c r="H7" s="310"/>
    </row>
    <row r="8" spans="2:8" ht="16.5" x14ac:dyDescent="0.25">
      <c r="B8" s="106"/>
      <c r="C8" s="107"/>
      <c r="D8" s="107"/>
      <c r="E8" s="107"/>
      <c r="F8" s="107"/>
      <c r="G8" s="107"/>
      <c r="H8" s="108"/>
    </row>
    <row r="9" spans="2:8" ht="16.5" customHeight="1" x14ac:dyDescent="0.25">
      <c r="B9" s="301" t="s">
        <v>200</v>
      </c>
      <c r="C9" s="302"/>
      <c r="D9" s="302"/>
      <c r="E9" s="302"/>
      <c r="F9" s="302"/>
      <c r="G9" s="302"/>
      <c r="H9" s="303"/>
    </row>
    <row r="10" spans="2:8" ht="44.25" customHeight="1" x14ac:dyDescent="0.25">
      <c r="B10" s="301"/>
      <c r="C10" s="302"/>
      <c r="D10" s="302"/>
      <c r="E10" s="302"/>
      <c r="F10" s="302"/>
      <c r="G10" s="302"/>
      <c r="H10" s="303"/>
    </row>
    <row r="11" spans="2:8" ht="15.75" thickBot="1" x14ac:dyDescent="0.3">
      <c r="B11" s="95"/>
      <c r="C11" s="98"/>
      <c r="D11" s="103"/>
      <c r="E11" s="104"/>
      <c r="F11" s="104"/>
      <c r="G11" s="105"/>
      <c r="H11" s="99"/>
    </row>
    <row r="12" spans="2:8" ht="15.75" thickTop="1" x14ac:dyDescent="0.25">
      <c r="B12" s="95"/>
      <c r="C12" s="304" t="s">
        <v>163</v>
      </c>
      <c r="D12" s="305"/>
      <c r="E12" s="306" t="s">
        <v>201</v>
      </c>
      <c r="F12" s="307"/>
      <c r="G12" s="98"/>
      <c r="H12" s="99"/>
    </row>
    <row r="13" spans="2:8" ht="35.25" customHeight="1" x14ac:dyDescent="0.25">
      <c r="B13" s="95"/>
      <c r="C13" s="276" t="s">
        <v>194</v>
      </c>
      <c r="D13" s="277"/>
      <c r="E13" s="278" t="s">
        <v>199</v>
      </c>
      <c r="F13" s="279"/>
      <c r="G13" s="98"/>
      <c r="H13" s="99"/>
    </row>
    <row r="14" spans="2:8" ht="17.25" customHeight="1" x14ac:dyDescent="0.25">
      <c r="B14" s="95"/>
      <c r="C14" s="276" t="s">
        <v>195</v>
      </c>
      <c r="D14" s="277"/>
      <c r="E14" s="278" t="s">
        <v>197</v>
      </c>
      <c r="F14" s="279"/>
      <c r="G14" s="98"/>
      <c r="H14" s="99"/>
    </row>
    <row r="15" spans="2:8" ht="19.5" customHeight="1" x14ac:dyDescent="0.25">
      <c r="B15" s="95"/>
      <c r="C15" s="276" t="s">
        <v>196</v>
      </c>
      <c r="D15" s="277"/>
      <c r="E15" s="278" t="s">
        <v>198</v>
      </c>
      <c r="F15" s="279"/>
      <c r="G15" s="98"/>
      <c r="H15" s="99"/>
    </row>
    <row r="16" spans="2:8" ht="69.75" customHeight="1" x14ac:dyDescent="0.25">
      <c r="B16" s="95"/>
      <c r="C16" s="276" t="s">
        <v>165</v>
      </c>
      <c r="D16" s="277"/>
      <c r="E16" s="278" t="s">
        <v>166</v>
      </c>
      <c r="F16" s="279"/>
      <c r="G16" s="98"/>
      <c r="H16" s="99"/>
    </row>
    <row r="17" spans="2:8" ht="34.5" customHeight="1" x14ac:dyDescent="0.25">
      <c r="B17" s="95"/>
      <c r="C17" s="280" t="s">
        <v>2</v>
      </c>
      <c r="D17" s="281"/>
      <c r="E17" s="272" t="s">
        <v>208</v>
      </c>
      <c r="F17" s="273"/>
      <c r="G17" s="98"/>
      <c r="H17" s="99"/>
    </row>
    <row r="18" spans="2:8" ht="27.75" customHeight="1" x14ac:dyDescent="0.25">
      <c r="B18" s="95"/>
      <c r="C18" s="280" t="s">
        <v>3</v>
      </c>
      <c r="D18" s="281"/>
      <c r="E18" s="272" t="s">
        <v>209</v>
      </c>
      <c r="F18" s="273"/>
      <c r="G18" s="98"/>
      <c r="H18" s="99"/>
    </row>
    <row r="19" spans="2:8" ht="28.5" customHeight="1" x14ac:dyDescent="0.25">
      <c r="B19" s="95"/>
      <c r="C19" s="280" t="s">
        <v>42</v>
      </c>
      <c r="D19" s="281"/>
      <c r="E19" s="272" t="s">
        <v>210</v>
      </c>
      <c r="F19" s="273"/>
      <c r="G19" s="98"/>
      <c r="H19" s="99"/>
    </row>
    <row r="20" spans="2:8" ht="72.75" customHeight="1" x14ac:dyDescent="0.25">
      <c r="B20" s="95"/>
      <c r="C20" s="280" t="s">
        <v>1</v>
      </c>
      <c r="D20" s="281"/>
      <c r="E20" s="272" t="s">
        <v>211</v>
      </c>
      <c r="F20" s="273"/>
      <c r="G20" s="98"/>
      <c r="H20" s="99"/>
    </row>
    <row r="21" spans="2:8" ht="64.5" customHeight="1" x14ac:dyDescent="0.25">
      <c r="B21" s="95"/>
      <c r="C21" s="280" t="s">
        <v>50</v>
      </c>
      <c r="D21" s="281"/>
      <c r="E21" s="272" t="s">
        <v>169</v>
      </c>
      <c r="F21" s="273"/>
      <c r="G21" s="98"/>
      <c r="H21" s="99"/>
    </row>
    <row r="22" spans="2:8" ht="71.25" customHeight="1" x14ac:dyDescent="0.25">
      <c r="B22" s="95"/>
      <c r="C22" s="280" t="s">
        <v>168</v>
      </c>
      <c r="D22" s="281"/>
      <c r="E22" s="272" t="s">
        <v>170</v>
      </c>
      <c r="F22" s="273"/>
      <c r="G22" s="98"/>
      <c r="H22" s="99"/>
    </row>
    <row r="23" spans="2:8" ht="55.5" customHeight="1" x14ac:dyDescent="0.25">
      <c r="B23" s="95"/>
      <c r="C23" s="274" t="s">
        <v>171</v>
      </c>
      <c r="D23" s="275"/>
      <c r="E23" s="272" t="s">
        <v>172</v>
      </c>
      <c r="F23" s="273"/>
      <c r="G23" s="98"/>
      <c r="H23" s="99"/>
    </row>
    <row r="24" spans="2:8" ht="42" customHeight="1" x14ac:dyDescent="0.25">
      <c r="B24" s="95"/>
      <c r="C24" s="274" t="s">
        <v>48</v>
      </c>
      <c r="D24" s="275"/>
      <c r="E24" s="272" t="s">
        <v>173</v>
      </c>
      <c r="F24" s="273"/>
      <c r="G24" s="98"/>
      <c r="H24" s="99"/>
    </row>
    <row r="25" spans="2:8" ht="59.25" customHeight="1" x14ac:dyDescent="0.25">
      <c r="B25" s="95"/>
      <c r="C25" s="274" t="s">
        <v>161</v>
      </c>
      <c r="D25" s="275"/>
      <c r="E25" s="272" t="s">
        <v>174</v>
      </c>
      <c r="F25" s="273"/>
      <c r="G25" s="98"/>
      <c r="H25" s="99"/>
    </row>
    <row r="26" spans="2:8" ht="23.25" customHeight="1" x14ac:dyDescent="0.25">
      <c r="B26" s="95"/>
      <c r="C26" s="274" t="s">
        <v>12</v>
      </c>
      <c r="D26" s="275"/>
      <c r="E26" s="272" t="s">
        <v>175</v>
      </c>
      <c r="F26" s="273"/>
      <c r="G26" s="98"/>
      <c r="H26" s="99"/>
    </row>
    <row r="27" spans="2:8" ht="30.75" customHeight="1" x14ac:dyDescent="0.25">
      <c r="B27" s="95"/>
      <c r="C27" s="274" t="s">
        <v>179</v>
      </c>
      <c r="D27" s="275"/>
      <c r="E27" s="272" t="s">
        <v>176</v>
      </c>
      <c r="F27" s="273"/>
      <c r="G27" s="98"/>
      <c r="H27" s="99"/>
    </row>
    <row r="28" spans="2:8" ht="35.25" customHeight="1" x14ac:dyDescent="0.25">
      <c r="B28" s="95"/>
      <c r="C28" s="274" t="s">
        <v>180</v>
      </c>
      <c r="D28" s="275"/>
      <c r="E28" s="272" t="s">
        <v>177</v>
      </c>
      <c r="F28" s="273"/>
      <c r="G28" s="98"/>
      <c r="H28" s="99"/>
    </row>
    <row r="29" spans="2:8" ht="33" customHeight="1" x14ac:dyDescent="0.25">
      <c r="B29" s="95"/>
      <c r="C29" s="274" t="s">
        <v>180</v>
      </c>
      <c r="D29" s="275"/>
      <c r="E29" s="272" t="s">
        <v>177</v>
      </c>
      <c r="F29" s="273"/>
      <c r="G29" s="98"/>
      <c r="H29" s="99"/>
    </row>
    <row r="30" spans="2:8" ht="30" customHeight="1" x14ac:dyDescent="0.25">
      <c r="B30" s="95"/>
      <c r="C30" s="274" t="s">
        <v>181</v>
      </c>
      <c r="D30" s="275"/>
      <c r="E30" s="272" t="s">
        <v>178</v>
      </c>
      <c r="F30" s="273"/>
      <c r="G30" s="98"/>
      <c r="H30" s="99"/>
    </row>
    <row r="31" spans="2:8" ht="35.25" customHeight="1" x14ac:dyDescent="0.25">
      <c r="B31" s="95"/>
      <c r="C31" s="274" t="s">
        <v>182</v>
      </c>
      <c r="D31" s="275"/>
      <c r="E31" s="272" t="s">
        <v>183</v>
      </c>
      <c r="F31" s="273"/>
      <c r="G31" s="98"/>
      <c r="H31" s="99"/>
    </row>
    <row r="32" spans="2:8" ht="31.5" customHeight="1" x14ac:dyDescent="0.25">
      <c r="B32" s="95"/>
      <c r="C32" s="274" t="s">
        <v>184</v>
      </c>
      <c r="D32" s="275"/>
      <c r="E32" s="272" t="s">
        <v>185</v>
      </c>
      <c r="F32" s="273"/>
      <c r="G32" s="98"/>
      <c r="H32" s="99"/>
    </row>
    <row r="33" spans="2:8" ht="35.25" customHeight="1" x14ac:dyDescent="0.25">
      <c r="B33" s="95"/>
      <c r="C33" s="274" t="s">
        <v>186</v>
      </c>
      <c r="D33" s="275"/>
      <c r="E33" s="272" t="s">
        <v>187</v>
      </c>
      <c r="F33" s="273"/>
      <c r="G33" s="98"/>
      <c r="H33" s="99"/>
    </row>
    <row r="34" spans="2:8" ht="59.25" customHeight="1" x14ac:dyDescent="0.25">
      <c r="B34" s="95"/>
      <c r="C34" s="274" t="s">
        <v>188</v>
      </c>
      <c r="D34" s="275"/>
      <c r="E34" s="272" t="s">
        <v>189</v>
      </c>
      <c r="F34" s="273"/>
      <c r="G34" s="98"/>
      <c r="H34" s="99"/>
    </row>
    <row r="35" spans="2:8" ht="29.25" customHeight="1" x14ac:dyDescent="0.25">
      <c r="B35" s="95"/>
      <c r="C35" s="274" t="s">
        <v>29</v>
      </c>
      <c r="D35" s="275"/>
      <c r="E35" s="272" t="s">
        <v>190</v>
      </c>
      <c r="F35" s="273"/>
      <c r="G35" s="98"/>
      <c r="H35" s="99"/>
    </row>
    <row r="36" spans="2:8" ht="82.5" customHeight="1" x14ac:dyDescent="0.25">
      <c r="B36" s="95"/>
      <c r="C36" s="274" t="s">
        <v>192</v>
      </c>
      <c r="D36" s="275"/>
      <c r="E36" s="272" t="s">
        <v>191</v>
      </c>
      <c r="F36" s="273"/>
      <c r="G36" s="98"/>
      <c r="H36" s="99"/>
    </row>
    <row r="37" spans="2:8" ht="46.5" customHeight="1" x14ac:dyDescent="0.25">
      <c r="B37" s="95"/>
      <c r="C37" s="274" t="s">
        <v>39</v>
      </c>
      <c r="D37" s="275"/>
      <c r="E37" s="272" t="s">
        <v>193</v>
      </c>
      <c r="F37" s="273"/>
      <c r="G37" s="98"/>
      <c r="H37" s="99"/>
    </row>
    <row r="38" spans="2:8" ht="6.75" customHeight="1" thickBot="1" x14ac:dyDescent="0.3">
      <c r="B38" s="95"/>
      <c r="C38" s="285"/>
      <c r="D38" s="286"/>
      <c r="E38" s="287"/>
      <c r="F38" s="288"/>
      <c r="G38" s="98"/>
      <c r="H38" s="99"/>
    </row>
    <row r="39" spans="2:8" ht="15.75" thickTop="1" x14ac:dyDescent="0.25">
      <c r="B39" s="95"/>
      <c r="C39" s="96"/>
      <c r="D39" s="96"/>
      <c r="E39" s="97"/>
      <c r="F39" s="97"/>
      <c r="G39" s="98"/>
      <c r="H39" s="99"/>
    </row>
    <row r="40" spans="2:8" ht="21" customHeight="1" x14ac:dyDescent="0.25">
      <c r="B40" s="282" t="s">
        <v>202</v>
      </c>
      <c r="C40" s="283"/>
      <c r="D40" s="283"/>
      <c r="E40" s="283"/>
      <c r="F40" s="283"/>
      <c r="G40" s="283"/>
      <c r="H40" s="284"/>
    </row>
    <row r="41" spans="2:8" ht="20.25" customHeight="1" x14ac:dyDescent="0.25">
      <c r="B41" s="282" t="s">
        <v>203</v>
      </c>
      <c r="C41" s="283"/>
      <c r="D41" s="283"/>
      <c r="E41" s="283"/>
      <c r="F41" s="283"/>
      <c r="G41" s="283"/>
      <c r="H41" s="284"/>
    </row>
    <row r="42" spans="2:8" ht="20.25" customHeight="1" x14ac:dyDescent="0.25">
      <c r="B42" s="282" t="s">
        <v>204</v>
      </c>
      <c r="C42" s="283"/>
      <c r="D42" s="283"/>
      <c r="E42" s="283"/>
      <c r="F42" s="283"/>
      <c r="G42" s="283"/>
      <c r="H42" s="284"/>
    </row>
    <row r="43" spans="2:8" ht="20.25" customHeight="1" x14ac:dyDescent="0.25">
      <c r="B43" s="282" t="s">
        <v>205</v>
      </c>
      <c r="C43" s="283"/>
      <c r="D43" s="283"/>
      <c r="E43" s="283"/>
      <c r="F43" s="283"/>
      <c r="G43" s="283"/>
      <c r="H43" s="284"/>
    </row>
    <row r="44" spans="2:8" x14ac:dyDescent="0.25">
      <c r="B44" s="282" t="s">
        <v>206</v>
      </c>
      <c r="C44" s="283"/>
      <c r="D44" s="283"/>
      <c r="E44" s="283"/>
      <c r="F44" s="283"/>
      <c r="G44" s="283"/>
      <c r="H44" s="284"/>
    </row>
    <row r="45" spans="2:8" ht="15.75" thickBot="1" x14ac:dyDescent="0.3">
      <c r="B45" s="100"/>
      <c r="C45" s="101"/>
      <c r="D45" s="101"/>
      <c r="E45" s="101"/>
      <c r="F45" s="101"/>
      <c r="G45" s="101"/>
      <c r="H45" s="10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U75"/>
  <sheetViews>
    <sheetView showGridLines="0" tabSelected="1" topLeftCell="A5" zoomScale="50" zoomScaleNormal="50" workbookViewId="0">
      <selection activeCell="A6" sqref="A6"/>
    </sheetView>
  </sheetViews>
  <sheetFormatPr baseColWidth="10" defaultRowHeight="14.25" x14ac:dyDescent="0.2"/>
  <cols>
    <col min="1" max="1" width="5.5703125" style="117" customWidth="1"/>
    <col min="2" max="2" width="5.85546875" style="117" customWidth="1"/>
    <col min="3" max="3" width="11" style="139" customWidth="1"/>
    <col min="4" max="4" width="12.28515625" style="117" customWidth="1"/>
    <col min="5" max="5" width="18.85546875" style="117" customWidth="1"/>
    <col min="6" max="6" width="23.140625" style="117" customWidth="1"/>
    <col min="7" max="7" width="37.85546875" style="117" customWidth="1"/>
    <col min="8" max="8" width="47.85546875" style="117" customWidth="1"/>
    <col min="9" max="10" width="32.42578125" style="109" customWidth="1"/>
    <col min="11" max="11" width="19" style="118" customWidth="1"/>
    <col min="12" max="12" width="17.85546875" style="109" customWidth="1"/>
    <col min="13" max="13" width="16.5703125" style="109" customWidth="1"/>
    <col min="14" max="14" width="8.85546875" style="109" customWidth="1"/>
    <col min="15" max="15" width="27.28515625" style="109" bestFit="1" customWidth="1"/>
    <col min="16" max="16" width="30.5703125" style="109" hidden="1" customWidth="1"/>
    <col min="17" max="17" width="17.5703125" style="109" customWidth="1"/>
    <col min="18" max="18" width="7.140625" style="109" bestFit="1" customWidth="1"/>
    <col min="19" max="19" width="16" style="109" customWidth="1"/>
    <col min="20" max="20" width="5.85546875" style="114" customWidth="1"/>
    <col min="21" max="21" width="55.140625" style="109" customWidth="1"/>
    <col min="22" max="22" width="16.5703125" style="114" customWidth="1"/>
    <col min="23" max="23" width="6.85546875" style="142" customWidth="1"/>
    <col min="24" max="24" width="5" style="142" customWidth="1"/>
    <col min="25" max="25" width="5.5703125" style="139" customWidth="1"/>
    <col min="26" max="26" width="7.140625" style="142" customWidth="1"/>
    <col min="27" max="27" width="6.7109375" style="142" customWidth="1"/>
    <col min="28" max="28" width="7.5703125" style="142" customWidth="1"/>
    <col min="29" max="29" width="38.28515625" style="109" hidden="1" customWidth="1"/>
    <col min="30" max="30" width="10.5703125" style="117" customWidth="1"/>
    <col min="31" max="31" width="10.42578125" style="117" customWidth="1"/>
    <col min="32" max="32" width="9.28515625" style="117" customWidth="1"/>
    <col min="33" max="33" width="9.140625" style="117" customWidth="1"/>
    <col min="34" max="34" width="8.42578125" style="117" customWidth="1"/>
    <col min="35" max="35" width="7.28515625" style="117" customWidth="1"/>
    <col min="36" max="36" width="79.42578125" style="109" customWidth="1"/>
    <col min="37" max="37" width="18.85546875" style="109" customWidth="1"/>
    <col min="38" max="38" width="21.5703125" style="109" customWidth="1"/>
    <col min="39" max="39" width="14.85546875" style="109" customWidth="1"/>
    <col min="40" max="40" width="18.5703125" style="109" customWidth="1"/>
    <col min="41" max="41" width="21" style="109" customWidth="1"/>
    <col min="42" max="42" width="48" style="109" customWidth="1"/>
    <col min="43" max="16384" width="11.42578125" style="109"/>
  </cols>
  <sheetData>
    <row r="1" spans="1:73" ht="51" hidden="1" customHeight="1" x14ac:dyDescent="0.2">
      <c r="A1" s="362"/>
      <c r="B1" s="362"/>
      <c r="C1" s="362"/>
      <c r="D1" s="362"/>
      <c r="E1" s="397" t="s">
        <v>412</v>
      </c>
      <c r="F1" s="397"/>
      <c r="G1" s="398" t="s">
        <v>413</v>
      </c>
      <c r="H1" s="398"/>
      <c r="I1" s="398"/>
      <c r="J1" s="398"/>
      <c r="K1" s="196"/>
      <c r="L1" s="196"/>
      <c r="M1" s="196"/>
      <c r="N1" s="196"/>
      <c r="O1" s="196"/>
      <c r="P1" s="196"/>
      <c r="Q1" s="196"/>
      <c r="R1" s="196"/>
      <c r="S1" s="196"/>
      <c r="T1" s="196"/>
      <c r="U1" s="396"/>
      <c r="V1" s="396"/>
      <c r="W1" s="396"/>
      <c r="X1" s="396"/>
      <c r="Y1" s="396"/>
      <c r="Z1" s="396"/>
      <c r="AA1" s="396"/>
      <c r="AB1" s="396"/>
      <c r="AC1" s="396"/>
      <c r="AD1" s="396"/>
      <c r="AE1" s="396"/>
      <c r="AF1" s="396"/>
      <c r="AG1" s="396"/>
      <c r="AH1" s="396"/>
      <c r="AI1" s="396"/>
      <c r="AJ1" s="396"/>
      <c r="AK1" s="396"/>
      <c r="AL1" s="396"/>
      <c r="AM1" s="396"/>
      <c r="AN1" s="396"/>
      <c r="AO1" s="396"/>
    </row>
    <row r="2" spans="1:73" ht="26.25" hidden="1" customHeight="1" x14ac:dyDescent="0.2">
      <c r="A2" s="362"/>
      <c r="B2" s="362"/>
      <c r="C2" s="362"/>
      <c r="D2" s="362"/>
      <c r="E2" s="397" t="s">
        <v>414</v>
      </c>
      <c r="F2" s="397"/>
      <c r="G2" s="398" t="s">
        <v>419</v>
      </c>
      <c r="H2" s="398"/>
      <c r="I2" s="398"/>
      <c r="J2" s="398"/>
      <c r="K2" s="196"/>
      <c r="L2" s="196"/>
      <c r="M2" s="196"/>
      <c r="N2" s="196"/>
      <c r="O2" s="196"/>
      <c r="P2" s="196"/>
      <c r="Q2" s="196"/>
      <c r="R2" s="196"/>
      <c r="S2" s="196"/>
      <c r="T2" s="196"/>
      <c r="U2" s="396"/>
      <c r="V2" s="396"/>
      <c r="W2" s="396"/>
      <c r="X2" s="396"/>
      <c r="Y2" s="396"/>
      <c r="Z2" s="396"/>
      <c r="AA2" s="396"/>
      <c r="AB2" s="396"/>
      <c r="AC2" s="396"/>
      <c r="AD2" s="396"/>
      <c r="AE2" s="396"/>
      <c r="AF2" s="396"/>
      <c r="AG2" s="396"/>
      <c r="AH2" s="396"/>
      <c r="AI2" s="396"/>
      <c r="AJ2" s="396"/>
      <c r="AK2" s="396"/>
      <c r="AL2" s="396"/>
      <c r="AM2" s="396"/>
      <c r="AN2" s="396"/>
      <c r="AO2" s="396"/>
    </row>
    <row r="3" spans="1:73" ht="41.25" hidden="1" customHeight="1" x14ac:dyDescent="0.2">
      <c r="A3" s="362"/>
      <c r="B3" s="362"/>
      <c r="C3" s="362"/>
      <c r="D3" s="362"/>
      <c r="E3" s="397" t="s">
        <v>418</v>
      </c>
      <c r="F3" s="397"/>
      <c r="G3" s="398" t="s">
        <v>415</v>
      </c>
      <c r="H3" s="398"/>
      <c r="I3" s="398"/>
      <c r="J3" s="398"/>
      <c r="K3" s="196"/>
      <c r="L3" s="196"/>
      <c r="M3" s="196"/>
      <c r="N3" s="196"/>
      <c r="O3" s="196"/>
      <c r="P3" s="196"/>
      <c r="Q3" s="196"/>
      <c r="R3" s="196"/>
      <c r="S3" s="196"/>
      <c r="T3" s="196"/>
      <c r="U3" s="197"/>
      <c r="V3" s="197"/>
      <c r="W3" s="197"/>
      <c r="X3" s="197"/>
      <c r="Y3" s="197"/>
      <c r="Z3" s="197"/>
      <c r="AA3" s="197"/>
      <c r="AB3" s="197"/>
      <c r="AC3" s="197"/>
      <c r="AD3" s="197"/>
      <c r="AE3" s="197"/>
      <c r="AF3" s="197"/>
      <c r="AG3" s="197"/>
      <c r="AH3" s="197"/>
      <c r="AI3" s="197"/>
      <c r="AJ3" s="197"/>
      <c r="AK3" s="197"/>
      <c r="AL3" s="197"/>
      <c r="AM3" s="197"/>
      <c r="AN3" s="197"/>
      <c r="AO3" s="197"/>
    </row>
    <row r="4" spans="1:73" ht="30" hidden="1" customHeight="1" x14ac:dyDescent="0.2">
      <c r="A4" s="362"/>
      <c r="B4" s="362"/>
      <c r="C4" s="362"/>
      <c r="D4" s="362"/>
      <c r="E4" s="397" t="s">
        <v>416</v>
      </c>
      <c r="F4" s="397"/>
      <c r="G4" s="398" t="s">
        <v>417</v>
      </c>
      <c r="H4" s="398"/>
      <c r="I4" s="398"/>
      <c r="J4" s="398"/>
      <c r="K4" s="196"/>
      <c r="L4" s="196"/>
      <c r="M4" s="196"/>
      <c r="N4" s="196"/>
      <c r="O4" s="196"/>
      <c r="P4" s="196"/>
      <c r="Q4" s="196"/>
      <c r="R4" s="196"/>
      <c r="S4" s="196"/>
      <c r="T4" s="196"/>
      <c r="U4" s="396"/>
      <c r="V4" s="396"/>
      <c r="W4" s="396"/>
      <c r="X4" s="396"/>
      <c r="Y4" s="396"/>
      <c r="Z4" s="396"/>
      <c r="AA4" s="396"/>
      <c r="AB4" s="396"/>
      <c r="AC4" s="396"/>
      <c r="AD4" s="396"/>
      <c r="AE4" s="396"/>
      <c r="AF4" s="396"/>
      <c r="AG4" s="396"/>
      <c r="AH4" s="396"/>
      <c r="AI4" s="396"/>
      <c r="AJ4" s="396"/>
      <c r="AK4" s="396"/>
      <c r="AL4" s="396"/>
      <c r="AM4" s="396"/>
      <c r="AN4" s="396"/>
      <c r="AO4" s="396"/>
    </row>
    <row r="5" spans="1:73" ht="39.75" customHeight="1" x14ac:dyDescent="0.2">
      <c r="A5" s="368" t="s">
        <v>431</v>
      </c>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row>
    <row r="6" spans="1:73" ht="8.25" customHeight="1" x14ac:dyDescent="0.2">
      <c r="A6" s="111"/>
      <c r="B6" s="111"/>
      <c r="C6" s="137"/>
      <c r="D6" s="112"/>
      <c r="E6" s="111"/>
      <c r="F6" s="111"/>
      <c r="G6" s="111"/>
      <c r="H6" s="111"/>
      <c r="I6" s="110"/>
      <c r="J6" s="110"/>
      <c r="K6" s="113"/>
      <c r="L6" s="110"/>
      <c r="M6" s="110"/>
      <c r="N6" s="110"/>
      <c r="O6" s="110"/>
      <c r="P6" s="110"/>
      <c r="Q6" s="110"/>
      <c r="R6" s="110"/>
      <c r="S6" s="110"/>
      <c r="T6" s="120"/>
      <c r="U6" s="110"/>
      <c r="V6" s="120"/>
      <c r="W6" s="141"/>
      <c r="X6" s="141"/>
      <c r="Y6" s="137"/>
      <c r="Z6" s="141"/>
      <c r="AA6" s="141"/>
      <c r="AB6" s="141"/>
      <c r="AC6" s="110"/>
      <c r="AD6" s="111"/>
      <c r="AE6" s="111"/>
      <c r="AF6" s="111"/>
      <c r="AG6" s="111"/>
      <c r="AH6" s="111"/>
      <c r="AI6" s="111"/>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row>
    <row r="7" spans="1:73" s="169" customFormat="1" ht="37.5" hidden="1" customHeight="1" x14ac:dyDescent="0.2">
      <c r="A7" s="370" t="s">
        <v>43</v>
      </c>
      <c r="B7" s="370"/>
      <c r="C7" s="370"/>
      <c r="D7" s="370"/>
      <c r="E7" s="366"/>
      <c r="F7" s="366"/>
      <c r="G7" s="366"/>
      <c r="H7" s="366"/>
      <c r="I7" s="366"/>
      <c r="J7" s="366"/>
      <c r="K7" s="366"/>
      <c r="L7" s="366"/>
      <c r="M7" s="366"/>
      <c r="N7" s="366"/>
      <c r="O7" s="366"/>
      <c r="P7" s="366"/>
      <c r="Q7" s="366"/>
      <c r="R7" s="366"/>
      <c r="S7" s="366"/>
      <c r="T7" s="367"/>
      <c r="U7" s="367"/>
      <c r="V7" s="367"/>
      <c r="W7" s="166"/>
      <c r="X7" s="166"/>
      <c r="Y7" s="167"/>
      <c r="Z7" s="166"/>
      <c r="AA7" s="166"/>
      <c r="AB7" s="166"/>
      <c r="AC7" s="149"/>
      <c r="AD7" s="168"/>
      <c r="AE7" s="168"/>
      <c r="AF7" s="168"/>
      <c r="AG7" s="168"/>
      <c r="AH7" s="168"/>
      <c r="AI7" s="168"/>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row>
    <row r="8" spans="1:73" s="169" customFormat="1" ht="37.5" hidden="1" customHeight="1" x14ac:dyDescent="0.2">
      <c r="A8" s="370" t="s">
        <v>130</v>
      </c>
      <c r="B8" s="370"/>
      <c r="C8" s="370"/>
      <c r="D8" s="370"/>
      <c r="E8" s="366"/>
      <c r="F8" s="366"/>
      <c r="G8" s="366"/>
      <c r="H8" s="366"/>
      <c r="I8" s="366"/>
      <c r="J8" s="366"/>
      <c r="K8" s="366"/>
      <c r="L8" s="366"/>
      <c r="M8" s="366"/>
      <c r="N8" s="366"/>
      <c r="O8" s="366"/>
      <c r="P8" s="366"/>
      <c r="Q8" s="366"/>
      <c r="R8" s="366"/>
      <c r="S8" s="366"/>
      <c r="T8" s="170"/>
      <c r="U8" s="149"/>
      <c r="V8" s="170"/>
      <c r="W8" s="166"/>
      <c r="X8" s="166"/>
      <c r="Y8" s="167"/>
      <c r="Z8" s="166"/>
      <c r="AA8" s="166"/>
      <c r="AB8" s="166"/>
      <c r="AC8" s="149"/>
      <c r="AD8" s="168"/>
      <c r="AE8" s="168"/>
      <c r="AF8" s="168"/>
      <c r="AG8" s="168"/>
      <c r="AH8" s="168"/>
      <c r="AI8" s="168"/>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row>
    <row r="9" spans="1:73" s="169" customFormat="1" ht="37.5" hidden="1" customHeight="1" x14ac:dyDescent="0.2">
      <c r="A9" s="371" t="s">
        <v>44</v>
      </c>
      <c r="B9" s="371"/>
      <c r="C9" s="371"/>
      <c r="D9" s="371"/>
      <c r="E9" s="372"/>
      <c r="F9" s="372"/>
      <c r="G9" s="372"/>
      <c r="H9" s="372"/>
      <c r="I9" s="372"/>
      <c r="J9" s="372"/>
      <c r="K9" s="372"/>
      <c r="L9" s="372"/>
      <c r="M9" s="372"/>
      <c r="N9" s="372"/>
      <c r="O9" s="372"/>
      <c r="P9" s="372"/>
      <c r="Q9" s="372"/>
      <c r="R9" s="372"/>
      <c r="S9" s="372"/>
      <c r="T9" s="170"/>
      <c r="U9" s="149"/>
      <c r="V9" s="170"/>
      <c r="W9" s="166"/>
      <c r="X9" s="166"/>
      <c r="Y9" s="167"/>
      <c r="Z9" s="166"/>
      <c r="AA9" s="166"/>
      <c r="AB9" s="166"/>
      <c r="AC9" s="149"/>
      <c r="AD9" s="168"/>
      <c r="AE9" s="168"/>
      <c r="AF9" s="168"/>
      <c r="AG9" s="168"/>
      <c r="AH9" s="168"/>
      <c r="AI9" s="168"/>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row>
    <row r="10" spans="1:73" s="144" customFormat="1" ht="24.75" customHeight="1" x14ac:dyDescent="0.25">
      <c r="A10" s="369" t="s">
        <v>138</v>
      </c>
      <c r="B10" s="369"/>
      <c r="C10" s="369"/>
      <c r="D10" s="369"/>
      <c r="E10" s="369"/>
      <c r="F10" s="369"/>
      <c r="G10" s="369"/>
      <c r="H10" s="369"/>
      <c r="I10" s="369"/>
      <c r="J10" s="369"/>
      <c r="K10" s="369"/>
      <c r="L10" s="369"/>
      <c r="M10" s="369" t="s">
        <v>139</v>
      </c>
      <c r="N10" s="369"/>
      <c r="O10" s="369"/>
      <c r="P10" s="369"/>
      <c r="Q10" s="369"/>
      <c r="R10" s="369"/>
      <c r="S10" s="369"/>
      <c r="T10" s="369" t="s">
        <v>140</v>
      </c>
      <c r="U10" s="369"/>
      <c r="V10" s="369"/>
      <c r="W10" s="369"/>
      <c r="X10" s="369"/>
      <c r="Y10" s="369"/>
      <c r="Z10" s="369"/>
      <c r="AA10" s="369"/>
      <c r="AB10" s="369"/>
      <c r="AC10" s="369" t="s">
        <v>141</v>
      </c>
      <c r="AD10" s="369"/>
      <c r="AE10" s="369"/>
      <c r="AF10" s="369"/>
      <c r="AG10" s="369"/>
      <c r="AH10" s="369"/>
      <c r="AI10" s="369"/>
      <c r="AJ10" s="369" t="s">
        <v>34</v>
      </c>
      <c r="AK10" s="369"/>
      <c r="AL10" s="369"/>
      <c r="AM10" s="369"/>
      <c r="AN10" s="369"/>
      <c r="AO10" s="369"/>
    </row>
    <row r="11" spans="1:73" s="169" customFormat="1" ht="16.5" customHeight="1" x14ac:dyDescent="0.2">
      <c r="A11" s="377" t="s">
        <v>0</v>
      </c>
      <c r="B11" s="377" t="s">
        <v>194</v>
      </c>
      <c r="C11" s="373" t="s">
        <v>212</v>
      </c>
      <c r="D11" s="365" t="s">
        <v>2</v>
      </c>
      <c r="E11" s="376" t="s">
        <v>3</v>
      </c>
      <c r="F11" s="376" t="s">
        <v>42</v>
      </c>
      <c r="G11" s="363" t="s">
        <v>379</v>
      </c>
      <c r="H11" s="363" t="s">
        <v>380</v>
      </c>
      <c r="I11" s="365" t="s">
        <v>221</v>
      </c>
      <c r="J11" s="365" t="s">
        <v>222</v>
      </c>
      <c r="K11" s="376" t="s">
        <v>50</v>
      </c>
      <c r="L11" s="376" t="s">
        <v>134</v>
      </c>
      <c r="M11" s="376" t="s">
        <v>33</v>
      </c>
      <c r="N11" s="365" t="s">
        <v>5</v>
      </c>
      <c r="O11" s="376" t="s">
        <v>87</v>
      </c>
      <c r="P11" s="376" t="s">
        <v>92</v>
      </c>
      <c r="Q11" s="376" t="s">
        <v>45</v>
      </c>
      <c r="R11" s="365" t="s">
        <v>5</v>
      </c>
      <c r="S11" s="376" t="s">
        <v>48</v>
      </c>
      <c r="T11" s="373" t="s">
        <v>11</v>
      </c>
      <c r="U11" s="376" t="s">
        <v>161</v>
      </c>
      <c r="V11" s="376" t="s">
        <v>12</v>
      </c>
      <c r="W11" s="376" t="s">
        <v>8</v>
      </c>
      <c r="X11" s="376"/>
      <c r="Y11" s="376"/>
      <c r="Z11" s="376"/>
      <c r="AA11" s="376"/>
      <c r="AB11" s="376"/>
      <c r="AC11" s="373" t="s">
        <v>137</v>
      </c>
      <c r="AD11" s="373" t="s">
        <v>46</v>
      </c>
      <c r="AE11" s="373" t="s">
        <v>5</v>
      </c>
      <c r="AF11" s="373" t="s">
        <v>47</v>
      </c>
      <c r="AG11" s="373" t="s">
        <v>5</v>
      </c>
      <c r="AH11" s="373" t="s">
        <v>49</v>
      </c>
      <c r="AI11" s="373" t="s">
        <v>29</v>
      </c>
      <c r="AJ11" s="376" t="s">
        <v>34</v>
      </c>
      <c r="AK11" s="376" t="s">
        <v>35</v>
      </c>
      <c r="AL11" s="376" t="s">
        <v>36</v>
      </c>
      <c r="AM11" s="376" t="s">
        <v>38</v>
      </c>
      <c r="AN11" s="376" t="s">
        <v>37</v>
      </c>
      <c r="AO11" s="374" t="s">
        <v>39</v>
      </c>
      <c r="AP11" s="395" t="s">
        <v>372</v>
      </c>
    </row>
    <row r="12" spans="1:73" s="195" customFormat="1" ht="98.25" x14ac:dyDescent="0.25">
      <c r="A12" s="377"/>
      <c r="B12" s="377"/>
      <c r="C12" s="373"/>
      <c r="D12" s="365"/>
      <c r="E12" s="376"/>
      <c r="F12" s="376"/>
      <c r="G12" s="364"/>
      <c r="H12" s="364"/>
      <c r="I12" s="365"/>
      <c r="J12" s="365"/>
      <c r="K12" s="376"/>
      <c r="L12" s="376"/>
      <c r="M12" s="376"/>
      <c r="N12" s="365"/>
      <c r="O12" s="376"/>
      <c r="P12" s="376"/>
      <c r="Q12" s="365"/>
      <c r="R12" s="365"/>
      <c r="S12" s="376"/>
      <c r="T12" s="373"/>
      <c r="U12" s="376"/>
      <c r="V12" s="376"/>
      <c r="W12" s="194" t="s">
        <v>13</v>
      </c>
      <c r="X12" s="194" t="s">
        <v>17</v>
      </c>
      <c r="Y12" s="194" t="s">
        <v>28</v>
      </c>
      <c r="Z12" s="194" t="s">
        <v>18</v>
      </c>
      <c r="AA12" s="194" t="s">
        <v>21</v>
      </c>
      <c r="AB12" s="194" t="s">
        <v>24</v>
      </c>
      <c r="AC12" s="373"/>
      <c r="AD12" s="373"/>
      <c r="AE12" s="373"/>
      <c r="AF12" s="373"/>
      <c r="AG12" s="373"/>
      <c r="AH12" s="373"/>
      <c r="AI12" s="373"/>
      <c r="AJ12" s="376"/>
      <c r="AK12" s="363"/>
      <c r="AL12" s="363"/>
      <c r="AM12" s="363"/>
      <c r="AN12" s="363"/>
      <c r="AO12" s="375"/>
      <c r="AP12" s="395"/>
    </row>
    <row r="13" spans="1:73" s="181" customFormat="1" ht="90" customHeight="1" x14ac:dyDescent="0.25">
      <c r="A13" s="365">
        <v>1</v>
      </c>
      <c r="B13" s="351" t="s">
        <v>215</v>
      </c>
      <c r="C13" s="351" t="s">
        <v>233</v>
      </c>
      <c r="D13" s="344" t="s">
        <v>133</v>
      </c>
      <c r="E13" s="385" t="s">
        <v>374</v>
      </c>
      <c r="F13" s="385" t="s">
        <v>373</v>
      </c>
      <c r="G13" s="313" t="s">
        <v>376</v>
      </c>
      <c r="H13" s="355" t="s">
        <v>375</v>
      </c>
      <c r="I13" s="355" t="s">
        <v>429</v>
      </c>
      <c r="J13" s="313" t="s">
        <v>377</v>
      </c>
      <c r="K13" s="344" t="s">
        <v>126</v>
      </c>
      <c r="L13" s="382">
        <f>(24*365)</f>
        <v>8760</v>
      </c>
      <c r="M13" s="383" t="str">
        <f>IF(L13&lt;=0,"",IF(L13&lt;=2,"Muy Baja",IF(L13&lt;=24,"Baja",IF(L13&lt;=500,"Media",IF(L13&lt;=5000,"Alta","Muy Alta")))))</f>
        <v>Muy Alta</v>
      </c>
      <c r="N13" s="352">
        <f>IF(M13="","",IF(M13="Muy Baja",0.2,IF(M13="Baja",0.4,IF(M13="Media",0.6,IF(M13="Alta",0.8,IF(M13="Muy Alta",1,))))))</f>
        <v>1</v>
      </c>
      <c r="O13" s="384" t="s">
        <v>149</v>
      </c>
      <c r="P13" s="352" t="str">
        <f>IF(NOT(ISERROR(MATCH(O13,'Tabla Impacto'!$B$221:$B$223,0))),'Tabla Impacto'!$F$223&amp;"Por favor no seleccionar los criterios de impacto(Afectación Económica o presupuestal y Pérdida Reputacional)",O13)</f>
        <v xml:space="preserve">     Entre 100 y 500 SMLMV </v>
      </c>
      <c r="Q13" s="383" t="str">
        <f>IF(OR(P13='Tabla Impacto'!$C$11,P13='Tabla Impacto'!$D$11),"Leve",IF(OR(P13='Tabla Impacto'!$C$12,P13='Tabla Impacto'!$D$12),"Menor",IF(OR(P13='Tabla Impacto'!$C$13,P13='Tabla Impacto'!$D$13),"Moderado",IF(OR(P13='Tabla Impacto'!$C$14,P13='Tabla Impacto'!$D$14),"Mayor",IF(OR(P13='Tabla Impacto'!$C$15,P13='Tabla Impacto'!$D$15),"Catastrófico","")))))</f>
        <v>Mayor</v>
      </c>
      <c r="R13" s="352">
        <f>IF(Q13="","",IF(Q13="Leve",0.2,IF(Q13="Menor",0.4,IF(Q13="Moderado",0.6,IF(Q13="Mayor",0.8,IF(Q13="Catastrófico",1,))))))</f>
        <v>0.8</v>
      </c>
      <c r="S13" s="354" t="str">
        <f>IF(OR(AND(M13="Muy Baja",Q13="Leve"),AND(M13="Muy Baja",Q13="Menor"),AND(M13="Baja",Q13="Leve")),"Bajo",IF(OR(AND(M13="Muy baja",Q13="Moderado"),AND(M13="Baja",Q13="Menor"),AND(M13="Baja",Q13="Moderado"),AND(M13="Media",Q13="Leve"),AND(M13="Media",Q13="Menor"),AND(M13="Media",Q13="Moderado"),AND(M13="Alta",Q13="Leve"),AND(M13="Alta",Q13="Menor")),"Moderado",IF(OR(AND(M13="Muy Baja",Q13="Mayor"),AND(M13="Baja",Q13="Mayor"),AND(M13="Media",Q13="Mayor"),AND(M13="Alta",Q13="Moderado"),AND(M13="Alta",Q13="Mayor"),AND(M13="Muy Alta",Q13="Leve"),AND(M13="Muy Alta",Q13="Menor"),AND(M13="Muy Alta",Q13="Moderado"),AND(M13="Muy Alta",Q13="Mayor")),"Alto",IF(OR(AND(M13="Muy Baja",Q13="Catastrófico"),AND(M13="Baja",Q13="Catastrófico"),AND(M13="Media",Q13="Catastrófico"),AND(M13="Alta",Q13="Catastrófico"),AND(M13="Muy Alta",Q13="Catastrófico")),"Extremo",""))))</f>
        <v>Alto</v>
      </c>
      <c r="T13" s="171">
        <v>1</v>
      </c>
      <c r="U13" s="172" t="s">
        <v>396</v>
      </c>
      <c r="V13" s="173" t="str">
        <f>IF(OR(W13="Preventivo",W13="Detectivo"),"Probabilidad",IF(W13="Correctivo","Impacto",""))</f>
        <v>Probabilidad</v>
      </c>
      <c r="W13" s="174" t="s">
        <v>14</v>
      </c>
      <c r="X13" s="174" t="s">
        <v>10</v>
      </c>
      <c r="Y13" s="175" t="str">
        <f>IF(AND(W13="Preventivo",X13="Automático"),"50%",IF(AND(W13="Preventivo",X13="Manual"),"40%",IF(AND(W13="Detectivo",X13="Automático"),"40%",IF(AND(W13="Detectivo",X13="Manual"),"30%",IF(AND(W13="Correctivo",X13="Automático"),"35%",IF(AND(W13="Correctivo",X13="Manual"),"25%",""))))))</f>
        <v>50%</v>
      </c>
      <c r="Z13" s="174" t="s">
        <v>19</v>
      </c>
      <c r="AA13" s="174" t="s">
        <v>22</v>
      </c>
      <c r="AB13" s="174" t="s">
        <v>119</v>
      </c>
      <c r="AC13" s="176">
        <f>IFERROR(IF(V13="Probabilidad",(N13-(+N13*Y13)),IF(V13="Impacto",N13,"")),"")</f>
        <v>0.5</v>
      </c>
      <c r="AD13" s="177" t="str">
        <f>IFERROR(IF(AC13="","",IF(AC13&lt;=0.2,"Muy Baja",IF(AC13&lt;=0.4,"Baja",IF(AC13&lt;=0.6,"Media",IF(AC13&lt;=0.8,"Alta","Muy Alta"))))),"")</f>
        <v>Media</v>
      </c>
      <c r="AE13" s="178">
        <f>+AC13</f>
        <v>0.5</v>
      </c>
      <c r="AF13" s="177" t="str">
        <f>IFERROR(IF(AG13="","",IF(AG13&lt;=0.2,"Leve",IF(AG13&lt;=0.4,"Menor",IF(AG13&lt;=0.6,"Moderado",IF(AG13&lt;=0.8,"Mayor","Catastrófico"))))),"")</f>
        <v>Mayor</v>
      </c>
      <c r="AG13" s="178">
        <f>IFERROR(IF(V13="Impacto",(R13-(+R13*Y13)),IF(V13="Probabilidad",R13,"")),"")</f>
        <v>0.8</v>
      </c>
      <c r="AH13" s="179" t="str">
        <f>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Alto</v>
      </c>
      <c r="AI13" s="180" t="s">
        <v>135</v>
      </c>
      <c r="AJ13" s="386" t="s">
        <v>404</v>
      </c>
      <c r="AK13" s="341" t="s">
        <v>398</v>
      </c>
      <c r="AL13" s="330">
        <v>44928</v>
      </c>
      <c r="AM13" s="331" t="s">
        <v>399</v>
      </c>
      <c r="AN13" s="389" t="s">
        <v>217</v>
      </c>
      <c r="AO13" s="392" t="s">
        <v>400</v>
      </c>
      <c r="AP13" s="341"/>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row>
    <row r="14" spans="1:73" s="169" customFormat="1" ht="140.25" customHeight="1" x14ac:dyDescent="0.2">
      <c r="A14" s="365"/>
      <c r="B14" s="351"/>
      <c r="C14" s="351"/>
      <c r="D14" s="344"/>
      <c r="E14" s="385"/>
      <c r="F14" s="385"/>
      <c r="G14" s="314"/>
      <c r="H14" s="355"/>
      <c r="I14" s="355"/>
      <c r="J14" s="314"/>
      <c r="K14" s="344"/>
      <c r="L14" s="382"/>
      <c r="M14" s="383"/>
      <c r="N14" s="352"/>
      <c r="O14" s="384"/>
      <c r="P14" s="352">
        <f>IF(NOT(ISERROR(MATCH(O14,_xlfn.ANCHORARRAY(I25),0))),N27&amp;"Por favor no seleccionar los criterios de impacto",O14)</f>
        <v>0</v>
      </c>
      <c r="Q14" s="383"/>
      <c r="R14" s="352"/>
      <c r="S14" s="354"/>
      <c r="T14" s="171">
        <v>2</v>
      </c>
      <c r="U14" s="172" t="s">
        <v>397</v>
      </c>
      <c r="V14" s="173" t="str">
        <f>IF(OR(W14="Preventivo",W14="Detectivo"),"Probabilidad",IF(W14="Correctivo","Impacto",""))</f>
        <v>Probabilidad</v>
      </c>
      <c r="W14" s="174" t="s">
        <v>14</v>
      </c>
      <c r="X14" s="174" t="s">
        <v>10</v>
      </c>
      <c r="Y14" s="175" t="str">
        <f t="shared" ref="Y14:Y18" si="0">IF(AND(W14="Preventivo",X14="Automático"),"50%",IF(AND(W14="Preventivo",X14="Manual"),"40%",IF(AND(W14="Detectivo",X14="Automático"),"40%",IF(AND(W14="Detectivo",X14="Manual"),"30%",IF(AND(W14="Correctivo",X14="Automático"),"35%",IF(AND(W14="Correctivo",X14="Manual"),"25%",""))))))</f>
        <v>50%</v>
      </c>
      <c r="Z14" s="174" t="s">
        <v>19</v>
      </c>
      <c r="AA14" s="174" t="s">
        <v>22</v>
      </c>
      <c r="AB14" s="174" t="s">
        <v>119</v>
      </c>
      <c r="AC14" s="176">
        <f>IFERROR(IF(AND(V13="Probabilidad",V14="Probabilidad"),(AE13-(+AE13*Y14)),IF(V14="Probabilidad",(N13-(+N13*Y14)),IF(V14="Impacto",AE13,""))),"")</f>
        <v>0.25</v>
      </c>
      <c r="AD14" s="177" t="str">
        <f t="shared" ref="AD14:AD72" si="1">IFERROR(IF(AC14="","",IF(AC14&lt;=0.2,"Muy Baja",IF(AC14&lt;=0.4,"Baja",IF(AC14&lt;=0.6,"Media",IF(AC14&lt;=0.8,"Alta","Muy Alta"))))),"")</f>
        <v>Baja</v>
      </c>
      <c r="AE14" s="178">
        <f t="shared" ref="AE14:AE18" si="2">+AC14</f>
        <v>0.25</v>
      </c>
      <c r="AF14" s="177" t="str">
        <f t="shared" ref="AF14:AF72" si="3">IFERROR(IF(AG14="","",IF(AG14&lt;=0.2,"Leve",IF(AG14&lt;=0.4,"Menor",IF(AG14&lt;=0.6,"Moderado",IF(AG14&lt;=0.8,"Mayor","Catastrófico"))))),"")</f>
        <v>Mayor</v>
      </c>
      <c r="AG14" s="178">
        <f>IFERROR(IF(AND(V13="Impacto",V14="Impacto"),(AG13-(+AG13*Y14)),IF(V14="Impacto",(R13-(+R13*Y14)),IF(V14="Probabilidad",AG13,""))),"")</f>
        <v>0.8</v>
      </c>
      <c r="AH14" s="179" t="str">
        <f t="shared" ref="AH14:AH18" si="4">IFERROR(IF(OR(AND(AD14="Muy Baja",AF14="Leve"),AND(AD14="Muy Baja",AF14="Menor"),AND(AD14="Baja",AF14="Leve")),"Bajo",IF(OR(AND(AD14="Muy baja",AF14="Moderado"),AND(AD14="Baja",AF14="Menor"),AND(AD14="Baja",AF14="Moderado"),AND(AD14="Media",AF14="Leve"),AND(AD14="Media",AF14="Menor"),AND(AD14="Media",AF14="Moderado"),AND(AD14="Alta",AF14="Leve"),AND(AD14="Alta",AF14="Menor")),"Moderado",IF(OR(AND(AD14="Muy Baja",AF14="Mayor"),AND(AD14="Baja",AF14="Mayor"),AND(AD14="Media",AF14="Mayor"),AND(AD14="Alta",AF14="Moderado"),AND(AD14="Alta",AF14="Mayor"),AND(AD14="Muy Alta",AF14="Leve"),AND(AD14="Muy Alta",AF14="Menor"),AND(AD14="Muy Alta",AF14="Moderado"),AND(AD14="Muy Alta",AF14="Mayor")),"Alto",IF(OR(AND(AD14="Muy Baja",AF14="Catastrófico"),AND(AD14="Baja",AF14="Catastrófico"),AND(AD14="Media",AF14="Catastrófico"),AND(AD14="Alta",AF14="Catastrófico"),AND(AD14="Muy Alta",AF14="Catastrófico")),"Extremo","")))),"")</f>
        <v>Alto</v>
      </c>
      <c r="AI14" s="180" t="s">
        <v>135</v>
      </c>
      <c r="AJ14" s="387"/>
      <c r="AK14" s="341"/>
      <c r="AL14" s="330"/>
      <c r="AM14" s="330"/>
      <c r="AN14" s="390"/>
      <c r="AO14" s="393"/>
      <c r="AP14" s="341"/>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row>
    <row r="15" spans="1:73" s="169" customFormat="1" ht="101.25" customHeight="1" x14ac:dyDescent="0.2">
      <c r="A15" s="365"/>
      <c r="B15" s="351"/>
      <c r="C15" s="351"/>
      <c r="D15" s="344"/>
      <c r="E15" s="385"/>
      <c r="F15" s="385"/>
      <c r="G15" s="314"/>
      <c r="H15" s="355"/>
      <c r="I15" s="355"/>
      <c r="J15" s="314"/>
      <c r="K15" s="344"/>
      <c r="L15" s="382"/>
      <c r="M15" s="383"/>
      <c r="N15" s="352"/>
      <c r="O15" s="384"/>
      <c r="P15" s="352">
        <f>IF(NOT(ISERROR(MATCH(O15,_xlfn.ANCHORARRAY(I26),0))),N28&amp;"Por favor no seleccionar los criterios de impacto",O15)</f>
        <v>0</v>
      </c>
      <c r="Q15" s="383"/>
      <c r="R15" s="352"/>
      <c r="S15" s="354"/>
      <c r="T15" s="171">
        <v>3</v>
      </c>
      <c r="U15" s="172"/>
      <c r="V15" s="173" t="str">
        <f>IF(OR(W15="Preventivo",W15="Detectivo"),"Probabilidad",IF(W15="Correctivo","Impacto",""))</f>
        <v/>
      </c>
      <c r="W15" s="174"/>
      <c r="X15" s="174"/>
      <c r="Y15" s="175" t="str">
        <f t="shared" si="0"/>
        <v/>
      </c>
      <c r="Z15" s="174"/>
      <c r="AA15" s="174"/>
      <c r="AB15" s="174"/>
      <c r="AC15" s="176" t="str">
        <f>IFERROR(IF(AND(V14="Probabilidad",V15="Probabilidad"),(AE14-(+AE14*Y15)),IF(AND(V14="Impacto",V15="Probabilidad"),(AE13-(+AE13*Y15)),IF(V15="Impacto",AE14,""))),"")</f>
        <v/>
      </c>
      <c r="AD15" s="177" t="str">
        <f t="shared" si="1"/>
        <v/>
      </c>
      <c r="AE15" s="178" t="str">
        <f t="shared" si="2"/>
        <v/>
      </c>
      <c r="AF15" s="177" t="str">
        <f t="shared" si="3"/>
        <v/>
      </c>
      <c r="AG15" s="178" t="str">
        <f>IFERROR(IF(AND(V14="Impacto",V15="Impacto"),(AG14-(+AG14*Y15)),IF(AND(V14="Probabilidad",V15="Impacto"),(AG13-(+AG13*Y15)),IF(V15="Probabilidad",AG14,""))),"")</f>
        <v/>
      </c>
      <c r="AH15" s="179" t="str">
        <f t="shared" si="4"/>
        <v/>
      </c>
      <c r="AI15" s="180"/>
      <c r="AJ15" s="387"/>
      <c r="AK15" s="341"/>
      <c r="AL15" s="330"/>
      <c r="AM15" s="330"/>
      <c r="AN15" s="390"/>
      <c r="AO15" s="393"/>
      <c r="AP15" s="341"/>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row>
    <row r="16" spans="1:73" s="169" customFormat="1" ht="82.5" customHeight="1" x14ac:dyDescent="0.2">
      <c r="A16" s="365"/>
      <c r="B16" s="351"/>
      <c r="C16" s="351"/>
      <c r="D16" s="344"/>
      <c r="E16" s="385"/>
      <c r="F16" s="385"/>
      <c r="G16" s="314"/>
      <c r="H16" s="355"/>
      <c r="I16" s="355"/>
      <c r="J16" s="314"/>
      <c r="K16" s="344"/>
      <c r="L16" s="382"/>
      <c r="M16" s="383"/>
      <c r="N16" s="352"/>
      <c r="O16" s="384"/>
      <c r="P16" s="352">
        <f>IF(NOT(ISERROR(MATCH(O16,_xlfn.ANCHORARRAY(I27),0))),N29&amp;"Por favor no seleccionar los criterios de impacto",O16)</f>
        <v>0</v>
      </c>
      <c r="Q16" s="383"/>
      <c r="R16" s="352"/>
      <c r="S16" s="354"/>
      <c r="T16" s="171">
        <v>4</v>
      </c>
      <c r="U16" s="182"/>
      <c r="V16" s="173" t="str">
        <f t="shared" ref="V16:V18" si="5">IF(OR(W16="Preventivo",W16="Detectivo"),"Probabilidad",IF(W16="Correctivo","Impacto",""))</f>
        <v/>
      </c>
      <c r="W16" s="174"/>
      <c r="X16" s="174"/>
      <c r="Y16" s="175" t="str">
        <f t="shared" si="0"/>
        <v/>
      </c>
      <c r="Z16" s="174"/>
      <c r="AA16" s="174"/>
      <c r="AB16" s="174"/>
      <c r="AC16" s="176" t="str">
        <f t="shared" ref="AC16:AC18" si="6">IFERROR(IF(AND(V15="Probabilidad",V16="Probabilidad"),(AE15-(+AE15*Y16)),IF(AND(V15="Impacto",V16="Probabilidad"),(AE14-(+AE14*Y16)),IF(V16="Impacto",AE15,""))),"")</f>
        <v/>
      </c>
      <c r="AD16" s="177" t="str">
        <f t="shared" si="1"/>
        <v/>
      </c>
      <c r="AE16" s="178" t="str">
        <f t="shared" si="2"/>
        <v/>
      </c>
      <c r="AF16" s="177" t="str">
        <f t="shared" si="3"/>
        <v/>
      </c>
      <c r="AG16" s="178" t="str">
        <f t="shared" ref="AG16:AG18" si="7">IFERROR(IF(AND(V15="Impacto",V16="Impacto"),(AG15-(+AG15*Y16)),IF(AND(V15="Probabilidad",V16="Impacto"),(AG14-(+AG14*Y16)),IF(V16="Probabilidad",AG15,""))),"")</f>
        <v/>
      </c>
      <c r="AH16" s="179" t="str">
        <f>IFERROR(IF(OR(AND(AD16="Muy Baja",AF16="Leve"),AND(AD16="Muy Baja",AF16="Menor"),AND(AD16="Baja",AF16="Leve")),"Bajo",IF(OR(AND(AD16="Muy baja",AF16="Moderado"),AND(AD16="Baja",AF16="Menor"),AND(AD16="Baja",AF16="Moderado"),AND(AD16="Media",AF16="Leve"),AND(AD16="Media",AF16="Menor"),AND(AD16="Media",AF16="Moderado"),AND(AD16="Alta",AF16="Leve"),AND(AD16="Alta",AF16="Menor")),"Moderado",IF(OR(AND(AD16="Muy Baja",AF16="Mayor"),AND(AD16="Baja",AF16="Mayor"),AND(AD16="Media",AF16="Mayor"),AND(AD16="Alta",AF16="Moderado"),AND(AD16="Alta",AF16="Mayor"),AND(AD16="Muy Alta",AF16="Leve"),AND(AD16="Muy Alta",AF16="Menor"),AND(AD16="Muy Alta",AF16="Moderado"),AND(AD16="Muy Alta",AF16="Mayor")),"Alto",IF(OR(AND(AD16="Muy Baja",AF16="Catastrófico"),AND(AD16="Baja",AF16="Catastrófico"),AND(AD16="Media",AF16="Catastrófico"),AND(AD16="Alta",AF16="Catastrófico"),AND(AD16="Muy Alta",AF16="Catastrófico")),"Extremo","")))),"")</f>
        <v/>
      </c>
      <c r="AI16" s="180"/>
      <c r="AJ16" s="387"/>
      <c r="AK16" s="341"/>
      <c r="AL16" s="330"/>
      <c r="AM16" s="330"/>
      <c r="AN16" s="390"/>
      <c r="AO16" s="393"/>
      <c r="AP16" s="341"/>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row>
    <row r="17" spans="1:73" s="169" customFormat="1" ht="92.25" customHeight="1" x14ac:dyDescent="0.2">
      <c r="A17" s="365"/>
      <c r="B17" s="351"/>
      <c r="C17" s="351"/>
      <c r="D17" s="344"/>
      <c r="E17" s="385"/>
      <c r="F17" s="385"/>
      <c r="G17" s="314"/>
      <c r="H17" s="355"/>
      <c r="I17" s="355"/>
      <c r="J17" s="314"/>
      <c r="K17" s="344"/>
      <c r="L17" s="382"/>
      <c r="M17" s="383"/>
      <c r="N17" s="352"/>
      <c r="O17" s="384"/>
      <c r="P17" s="352">
        <f>IF(NOT(ISERROR(MATCH(O17,_xlfn.ANCHORARRAY(I28),0))),N30&amp;"Por favor no seleccionar los criterios de impacto",O17)</f>
        <v>0</v>
      </c>
      <c r="Q17" s="383"/>
      <c r="R17" s="352"/>
      <c r="S17" s="354"/>
      <c r="T17" s="171">
        <v>5</v>
      </c>
      <c r="U17" s="182"/>
      <c r="V17" s="173" t="str">
        <f t="shared" si="5"/>
        <v/>
      </c>
      <c r="W17" s="174"/>
      <c r="X17" s="174"/>
      <c r="Y17" s="175" t="str">
        <f t="shared" si="0"/>
        <v/>
      </c>
      <c r="Z17" s="174"/>
      <c r="AA17" s="174"/>
      <c r="AB17" s="174"/>
      <c r="AC17" s="176" t="str">
        <f t="shared" si="6"/>
        <v/>
      </c>
      <c r="AD17" s="177" t="str">
        <f t="shared" si="1"/>
        <v/>
      </c>
      <c r="AE17" s="178" t="str">
        <f t="shared" si="2"/>
        <v/>
      </c>
      <c r="AF17" s="177" t="str">
        <f t="shared" si="3"/>
        <v/>
      </c>
      <c r="AG17" s="178" t="str">
        <f t="shared" si="7"/>
        <v/>
      </c>
      <c r="AH17" s="179" t="str">
        <f t="shared" si="4"/>
        <v/>
      </c>
      <c r="AI17" s="180"/>
      <c r="AJ17" s="387"/>
      <c r="AK17" s="341"/>
      <c r="AL17" s="330"/>
      <c r="AM17" s="330"/>
      <c r="AN17" s="390"/>
      <c r="AO17" s="393"/>
      <c r="AP17" s="341"/>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row>
    <row r="18" spans="1:73" s="169" customFormat="1" ht="202.5" customHeight="1" x14ac:dyDescent="0.2">
      <c r="A18" s="365"/>
      <c r="B18" s="351"/>
      <c r="C18" s="351"/>
      <c r="D18" s="344"/>
      <c r="E18" s="385"/>
      <c r="F18" s="385"/>
      <c r="G18" s="315"/>
      <c r="H18" s="355"/>
      <c r="I18" s="355"/>
      <c r="J18" s="315"/>
      <c r="K18" s="344"/>
      <c r="L18" s="382"/>
      <c r="M18" s="383"/>
      <c r="N18" s="352"/>
      <c r="O18" s="384"/>
      <c r="P18" s="352">
        <f>IF(NOT(ISERROR(MATCH(O18,_xlfn.ANCHORARRAY(I29),0))),N31&amp;"Por favor no seleccionar los criterios de impacto",O18)</f>
        <v>0</v>
      </c>
      <c r="Q18" s="383"/>
      <c r="R18" s="352"/>
      <c r="S18" s="354"/>
      <c r="T18" s="171">
        <v>6</v>
      </c>
      <c r="U18" s="182"/>
      <c r="V18" s="173" t="str">
        <f t="shared" si="5"/>
        <v/>
      </c>
      <c r="W18" s="174"/>
      <c r="X18" s="174"/>
      <c r="Y18" s="175" t="str">
        <f t="shared" si="0"/>
        <v/>
      </c>
      <c r="Z18" s="174"/>
      <c r="AA18" s="174"/>
      <c r="AB18" s="174"/>
      <c r="AC18" s="176" t="str">
        <f t="shared" si="6"/>
        <v/>
      </c>
      <c r="AD18" s="177" t="str">
        <f t="shared" si="1"/>
        <v/>
      </c>
      <c r="AE18" s="178" t="str">
        <f t="shared" si="2"/>
        <v/>
      </c>
      <c r="AF18" s="177" t="str">
        <f t="shared" si="3"/>
        <v/>
      </c>
      <c r="AG18" s="178" t="str">
        <f t="shared" si="7"/>
        <v/>
      </c>
      <c r="AH18" s="179" t="str">
        <f t="shared" si="4"/>
        <v/>
      </c>
      <c r="AI18" s="180"/>
      <c r="AJ18" s="388"/>
      <c r="AK18" s="341"/>
      <c r="AL18" s="330"/>
      <c r="AM18" s="330"/>
      <c r="AN18" s="391"/>
      <c r="AO18" s="394"/>
      <c r="AP18" s="341"/>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row>
    <row r="19" spans="1:73" s="169" customFormat="1" ht="120" x14ac:dyDescent="0.2">
      <c r="A19" s="365">
        <v>2</v>
      </c>
      <c r="B19" s="351" t="s">
        <v>215</v>
      </c>
      <c r="C19" s="351" t="s">
        <v>233</v>
      </c>
      <c r="D19" s="344" t="s">
        <v>133</v>
      </c>
      <c r="E19" s="344" t="s">
        <v>382</v>
      </c>
      <c r="F19" s="385" t="s">
        <v>381</v>
      </c>
      <c r="G19" s="356" t="s">
        <v>383</v>
      </c>
      <c r="H19" s="355" t="s">
        <v>384</v>
      </c>
      <c r="I19" s="355" t="s">
        <v>430</v>
      </c>
      <c r="J19" s="355" t="s">
        <v>378</v>
      </c>
      <c r="K19" s="344" t="s">
        <v>126</v>
      </c>
      <c r="L19" s="382">
        <v>146000</v>
      </c>
      <c r="M19" s="383" t="str">
        <f>IF(L19&lt;=0,"",IF(L19&lt;=2,"Muy Baja",IF(L19&lt;=24,"Baja",IF(L19&lt;=500,"Media",IF(L19&lt;=5000,"Alta","Muy Alta")))))</f>
        <v>Muy Alta</v>
      </c>
      <c r="N19" s="352">
        <f>IF(M19="","",IF(M19="Muy Baja",0.2,IF(M19="Baja",0.4,IF(M19="Media",0.6,IF(M19="Alta",0.8,IF(M19="Muy Alta",1,))))))</f>
        <v>1</v>
      </c>
      <c r="O19" s="384" t="s">
        <v>149</v>
      </c>
      <c r="P19" s="352" t="str">
        <f>IF(NOT(ISERROR(MATCH(O19,'Tabla Impacto'!$B$221:$B$223,0))),'Tabla Impacto'!$F$223&amp;"Por favor no seleccionar los criterios de impacto(Afectación Económica o presupuestal y Pérdida Reputacional)",O19)</f>
        <v xml:space="preserve">     Entre 100 y 500 SMLMV </v>
      </c>
      <c r="Q19" s="383" t="str">
        <f>IF(OR(P19='Tabla Impacto'!$C$11,P19='Tabla Impacto'!$D$11),"Leve",IF(OR(P19='Tabla Impacto'!$C$12,P19='Tabla Impacto'!$D$12),"Menor",IF(OR(P19='Tabla Impacto'!$C$13,P19='Tabla Impacto'!$D$13),"Moderado",IF(OR(P19='Tabla Impacto'!$C$14,P19='Tabla Impacto'!$D$14),"Mayor",IF(OR(P19='Tabla Impacto'!$C$15,P19='Tabla Impacto'!$D$15),"Catastrófico","")))))</f>
        <v>Mayor</v>
      </c>
      <c r="R19" s="352">
        <f>IF(Q19="","",IF(Q19="Leve",0.2,IF(Q19="Menor",0.4,IF(Q19="Moderado",0.6,IF(Q19="Mayor",0.8,IF(Q19="Catastrófico",1,))))))</f>
        <v>0.8</v>
      </c>
      <c r="S19" s="354" t="str">
        <f>IF(OR(AND(M19="Muy Baja",Q19="Leve"),AND(M19="Muy Baja",Q19="Menor"),AND(M19="Baja",Q19="Leve")),"Bajo",IF(OR(AND(M19="Muy baja",Q19="Moderado"),AND(M19="Baja",Q19="Menor"),AND(M19="Baja",Q19="Moderado"),AND(M19="Media",Q19="Leve"),AND(M19="Media",Q19="Menor"),AND(M19="Media",Q19="Moderado"),AND(M19="Alta",Q19="Leve"),AND(M19="Alta",Q19="Menor")),"Moderado",IF(OR(AND(M19="Muy Baja",Q19="Mayor"),AND(M19="Baja",Q19="Mayor"),AND(M19="Media",Q19="Mayor"),AND(M19="Alta",Q19="Moderado"),AND(M19="Alta",Q19="Mayor"),AND(M19="Muy Alta",Q19="Leve"),AND(M19="Muy Alta",Q19="Menor"),AND(M19="Muy Alta",Q19="Moderado"),AND(M19="Muy Alta",Q19="Mayor")),"Alto",IF(OR(AND(M19="Muy Baja",Q19="Catastrófico"),AND(M19="Baja",Q19="Catastrófico"),AND(M19="Media",Q19="Catastrófico"),AND(M19="Alta",Q19="Catastrófico"),AND(M19="Muy Alta",Q19="Catastrófico")),"Extremo",""))))</f>
        <v>Alto</v>
      </c>
      <c r="T19" s="171">
        <v>1</v>
      </c>
      <c r="U19" s="172" t="s">
        <v>385</v>
      </c>
      <c r="V19" s="173" t="str">
        <f>IF(OR(W19="Preventivo",W19="Detectivo"),"Probabilidad",IF(W19="Correctivo","Impacto",""))</f>
        <v>Probabilidad</v>
      </c>
      <c r="W19" s="174" t="s">
        <v>14</v>
      </c>
      <c r="X19" s="174" t="s">
        <v>9</v>
      </c>
      <c r="Y19" s="175" t="str">
        <f>IF(AND(W19="Preventivo",X19="Automático"),"50%",IF(AND(W19="Preventivo",X19="Manual"),"40%",IF(AND(W19="Detectivo",X19="Automático"),"40%",IF(AND(W19="Detectivo",X19="Manual"),"30%",IF(AND(W19="Correctivo",X19="Automático"),"35%",IF(AND(W19="Correctivo",X19="Manual"),"25%",""))))))</f>
        <v>40%</v>
      </c>
      <c r="Z19" s="174" t="s">
        <v>19</v>
      </c>
      <c r="AA19" s="174" t="s">
        <v>22</v>
      </c>
      <c r="AB19" s="174" t="s">
        <v>119</v>
      </c>
      <c r="AC19" s="176">
        <f>IFERROR(IF(V19="Probabilidad",(N19-(+N19*Y19)),IF(V19="Impacto",N19,"")),"")</f>
        <v>0.6</v>
      </c>
      <c r="AD19" s="177" t="str">
        <f>IFERROR(IF(AC19="","",IF(AC19&lt;=0.2,"Muy Baja",IF(AC19&lt;=0.4,"Baja",IF(AC19&lt;=0.6,"Media",IF(AC19&lt;=0.8,"Alta","Muy Alta"))))),"")</f>
        <v>Media</v>
      </c>
      <c r="AE19" s="178">
        <f>+AC19</f>
        <v>0.6</v>
      </c>
      <c r="AF19" s="177" t="str">
        <f>IFERROR(IF(AG19="","",IF(AG19&lt;=0.2,"Leve",IF(AG19&lt;=0.4,"Menor",IF(AG19&lt;=0.6,"Moderado",IF(AG19&lt;=0.8,"Mayor","Catastrófico"))))),"")</f>
        <v>Mayor</v>
      </c>
      <c r="AG19" s="178">
        <f>IFERROR(IF(V19="Impacto",(R19-(+R19*Y19)),IF(V19="Probabilidad",R19,"")),"")</f>
        <v>0.8</v>
      </c>
      <c r="AH19" s="179" t="str">
        <f>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Alto</v>
      </c>
      <c r="AI19" s="180" t="s">
        <v>135</v>
      </c>
      <c r="AJ19" s="313" t="s">
        <v>408</v>
      </c>
      <c r="AK19" s="341" t="s">
        <v>398</v>
      </c>
      <c r="AL19" s="330">
        <v>44928</v>
      </c>
      <c r="AM19" s="331" t="s">
        <v>399</v>
      </c>
      <c r="AN19" s="322"/>
      <c r="AO19" s="325"/>
      <c r="AP19" s="311"/>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row>
    <row r="20" spans="1:73" s="169" customFormat="1" ht="135" customHeight="1" x14ac:dyDescent="0.2">
      <c r="A20" s="365"/>
      <c r="B20" s="351"/>
      <c r="C20" s="351"/>
      <c r="D20" s="344"/>
      <c r="E20" s="344"/>
      <c r="F20" s="385"/>
      <c r="G20" s="357"/>
      <c r="H20" s="355"/>
      <c r="I20" s="355"/>
      <c r="J20" s="355"/>
      <c r="K20" s="344"/>
      <c r="L20" s="382"/>
      <c r="M20" s="383"/>
      <c r="N20" s="352"/>
      <c r="O20" s="384"/>
      <c r="P20" s="352">
        <f>IF(NOT(ISERROR(MATCH(O20,_xlfn.ANCHORARRAY(I31),0))),N33&amp;"Por favor no seleccionar los criterios de impacto",O20)</f>
        <v>0</v>
      </c>
      <c r="Q20" s="383"/>
      <c r="R20" s="352"/>
      <c r="S20" s="354"/>
      <c r="T20" s="171">
        <v>2</v>
      </c>
      <c r="U20" s="172" t="s">
        <v>403</v>
      </c>
      <c r="V20" s="173" t="s">
        <v>4</v>
      </c>
      <c r="W20" s="174" t="s">
        <v>14</v>
      </c>
      <c r="X20" s="174" t="s">
        <v>9</v>
      </c>
      <c r="Y20" s="175" t="str">
        <f t="shared" ref="Y20:Y24" si="8">IF(AND(W20="Preventivo",X20="Automático"),"50%",IF(AND(W20="Preventivo",X20="Manual"),"40%",IF(AND(W20="Detectivo",X20="Automático"),"40%",IF(AND(W20="Detectivo",X20="Manual"),"30%",IF(AND(W20="Correctivo",X20="Automático"),"35%",IF(AND(W20="Correctivo",X20="Manual"),"25%",""))))))</f>
        <v>40%</v>
      </c>
      <c r="Z20" s="174" t="s">
        <v>19</v>
      </c>
      <c r="AA20" s="174" t="s">
        <v>22</v>
      </c>
      <c r="AB20" s="174" t="s">
        <v>119</v>
      </c>
      <c r="AC20" s="176">
        <f>IFERROR(IF(AND(V19="Probabilidad",V20="Probabilidad"),(AE19-(+AE19*Y20)),IF(V20="Probabilidad",(N19-(+N19*Y20)),IF(V20="Impacto",AE19,""))),"")</f>
        <v>0.36</v>
      </c>
      <c r="AD20" s="177" t="str">
        <f t="shared" si="1"/>
        <v>Baja</v>
      </c>
      <c r="AE20" s="178">
        <f t="shared" ref="AE20:AE24" si="9">+AC20</f>
        <v>0.36</v>
      </c>
      <c r="AF20" s="177" t="str">
        <f t="shared" si="3"/>
        <v>Mayor</v>
      </c>
      <c r="AG20" s="178">
        <f>IFERROR(IF(AND(V19="Impacto",V20="Impacto"),(AG19-(+AG19*Y20)),IF(V20="Impacto",(R19-(+R19*Y20)),IF(V20="Probabilidad",AG19,""))),"")</f>
        <v>0.8</v>
      </c>
      <c r="AH20" s="179" t="str">
        <f t="shared" ref="AH20:AH21" si="10">IFERROR(IF(OR(AND(AD20="Muy Baja",AF20="Leve"),AND(AD20="Muy Baja",AF20="Menor"),AND(AD20="Baja",AF20="Leve")),"Bajo",IF(OR(AND(AD20="Muy baja",AF20="Moderado"),AND(AD20="Baja",AF20="Menor"),AND(AD20="Baja",AF20="Moderado"),AND(AD20="Media",AF20="Leve"),AND(AD20="Media",AF20="Menor"),AND(AD20="Media",AF20="Moderado"),AND(AD20="Alta",AF20="Leve"),AND(AD20="Alta",AF20="Menor")),"Moderado",IF(OR(AND(AD20="Muy Baja",AF20="Mayor"),AND(AD20="Baja",AF20="Mayor"),AND(AD20="Media",AF20="Mayor"),AND(AD20="Alta",AF20="Moderado"),AND(AD20="Alta",AF20="Mayor"),AND(AD20="Muy Alta",AF20="Leve"),AND(AD20="Muy Alta",AF20="Menor"),AND(AD20="Muy Alta",AF20="Moderado"),AND(AD20="Muy Alta",AF20="Mayor")),"Alto",IF(OR(AND(AD20="Muy Baja",AF20="Catastrófico"),AND(AD20="Baja",AF20="Catastrófico"),AND(AD20="Media",AF20="Catastrófico"),AND(AD20="Alta",AF20="Catastrófico"),AND(AD20="Muy Alta",AF20="Catastrófico")),"Extremo","")))),"")</f>
        <v>Alto</v>
      </c>
      <c r="AI20" s="180" t="s">
        <v>135</v>
      </c>
      <c r="AJ20" s="314"/>
      <c r="AK20" s="341"/>
      <c r="AL20" s="330"/>
      <c r="AM20" s="330"/>
      <c r="AN20" s="323"/>
      <c r="AO20" s="326"/>
      <c r="AP20" s="311"/>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row>
    <row r="21" spans="1:73" s="169" customFormat="1" ht="70.5" customHeight="1" x14ac:dyDescent="0.2">
      <c r="A21" s="365"/>
      <c r="B21" s="351"/>
      <c r="C21" s="351"/>
      <c r="D21" s="344"/>
      <c r="E21" s="344"/>
      <c r="F21" s="385"/>
      <c r="G21" s="357"/>
      <c r="H21" s="355"/>
      <c r="I21" s="355"/>
      <c r="J21" s="355"/>
      <c r="K21" s="344"/>
      <c r="L21" s="382"/>
      <c r="M21" s="383"/>
      <c r="N21" s="352"/>
      <c r="O21" s="384"/>
      <c r="P21" s="352">
        <f>IF(NOT(ISERROR(MATCH(O21,_xlfn.ANCHORARRAY(I32),0))),N34&amp;"Por favor no seleccionar los criterios de impacto",O21)</f>
        <v>0</v>
      </c>
      <c r="Q21" s="383"/>
      <c r="R21" s="352"/>
      <c r="S21" s="354"/>
      <c r="T21" s="171">
        <v>3</v>
      </c>
      <c r="U21" s="172"/>
      <c r="V21" s="173" t="str">
        <f>IF(OR(W21="Preventivo",W21="Detectivo"),"Probabilidad",IF(W21="Correctivo","Impacto",""))</f>
        <v/>
      </c>
      <c r="W21" s="174"/>
      <c r="X21" s="174"/>
      <c r="Y21" s="175" t="str">
        <f t="shared" si="8"/>
        <v/>
      </c>
      <c r="Z21" s="174"/>
      <c r="AA21" s="174"/>
      <c r="AB21" s="174"/>
      <c r="AC21" s="176" t="str">
        <f>IFERROR(IF(AND(V20="Probabilidad",V21="Probabilidad"),(AE20-(+AE20*Y21)),IF(AND(V20="Impacto",V21="Probabilidad"),(AE19-(+AE19*Y21)),IF(V21="Impacto",AE20,""))),"")</f>
        <v/>
      </c>
      <c r="AD21" s="177" t="str">
        <f t="shared" si="1"/>
        <v/>
      </c>
      <c r="AE21" s="178" t="str">
        <f t="shared" si="9"/>
        <v/>
      </c>
      <c r="AF21" s="177" t="str">
        <f t="shared" si="3"/>
        <v/>
      </c>
      <c r="AG21" s="178" t="str">
        <f>IFERROR(IF(AND(V20="Impacto",V21="Impacto"),(AG20-(+AG20*Y21)),IF(AND(V20="Probabilidad",V21="Impacto"),(AG19-(+AG19*Y21)),IF(V21="Probabilidad",AG20,""))),"")</f>
        <v/>
      </c>
      <c r="AH21" s="179" t="str">
        <f t="shared" si="10"/>
        <v/>
      </c>
      <c r="AI21" s="180"/>
      <c r="AJ21" s="314"/>
      <c r="AK21" s="341"/>
      <c r="AL21" s="330"/>
      <c r="AM21" s="330"/>
      <c r="AN21" s="323"/>
      <c r="AO21" s="326"/>
      <c r="AP21" s="311"/>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row>
    <row r="22" spans="1:73" s="169" customFormat="1" ht="70.5" customHeight="1" x14ac:dyDescent="0.2">
      <c r="A22" s="365"/>
      <c r="B22" s="351"/>
      <c r="C22" s="351"/>
      <c r="D22" s="344"/>
      <c r="E22" s="344"/>
      <c r="F22" s="385"/>
      <c r="G22" s="357"/>
      <c r="H22" s="355"/>
      <c r="I22" s="355"/>
      <c r="J22" s="355"/>
      <c r="K22" s="344"/>
      <c r="L22" s="382"/>
      <c r="M22" s="383"/>
      <c r="N22" s="352"/>
      <c r="O22" s="384"/>
      <c r="P22" s="352">
        <f>IF(NOT(ISERROR(MATCH(O22,_xlfn.ANCHORARRAY(I33),0))),N35&amp;"Por favor no seleccionar los criterios de impacto",O22)</f>
        <v>0</v>
      </c>
      <c r="Q22" s="383"/>
      <c r="R22" s="352"/>
      <c r="S22" s="354"/>
      <c r="T22" s="171">
        <v>4</v>
      </c>
      <c r="U22" s="182"/>
      <c r="V22" s="173" t="str">
        <f t="shared" ref="V22:V24" si="11">IF(OR(W22="Preventivo",W22="Detectivo"),"Probabilidad",IF(W22="Correctivo","Impacto",""))</f>
        <v/>
      </c>
      <c r="W22" s="174"/>
      <c r="X22" s="174"/>
      <c r="Y22" s="175" t="str">
        <f t="shared" si="8"/>
        <v/>
      </c>
      <c r="Z22" s="174"/>
      <c r="AA22" s="174"/>
      <c r="AB22" s="174"/>
      <c r="AC22" s="176" t="str">
        <f t="shared" ref="AC22:AC24" si="12">IFERROR(IF(AND(V21="Probabilidad",V22="Probabilidad"),(AE21-(+AE21*Y22)),IF(AND(V21="Impacto",V22="Probabilidad"),(AE20-(+AE20*Y22)),IF(V22="Impacto",AE21,""))),"")</f>
        <v/>
      </c>
      <c r="AD22" s="177" t="str">
        <f t="shared" si="1"/>
        <v/>
      </c>
      <c r="AE22" s="178" t="str">
        <f t="shared" si="9"/>
        <v/>
      </c>
      <c r="AF22" s="177" t="str">
        <f t="shared" si="3"/>
        <v/>
      </c>
      <c r="AG22" s="178" t="str">
        <f t="shared" ref="AG22:AG24" si="13">IFERROR(IF(AND(V21="Impacto",V22="Impacto"),(AG21-(+AG21*Y22)),IF(AND(V21="Probabilidad",V22="Impacto"),(AG20-(+AG20*Y22)),IF(V22="Probabilidad",AG21,""))),"")</f>
        <v/>
      </c>
      <c r="AH22" s="179" t="str">
        <f>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
      </c>
      <c r="AI22" s="180"/>
      <c r="AJ22" s="314"/>
      <c r="AK22" s="341"/>
      <c r="AL22" s="330"/>
      <c r="AM22" s="330"/>
      <c r="AN22" s="323"/>
      <c r="AO22" s="326"/>
      <c r="AP22" s="311"/>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row>
    <row r="23" spans="1:73" s="169" customFormat="1" ht="70.5" customHeight="1" x14ac:dyDescent="0.2">
      <c r="A23" s="365"/>
      <c r="B23" s="351"/>
      <c r="C23" s="351"/>
      <c r="D23" s="344"/>
      <c r="E23" s="344"/>
      <c r="F23" s="385"/>
      <c r="G23" s="357"/>
      <c r="H23" s="355"/>
      <c r="I23" s="355"/>
      <c r="J23" s="355"/>
      <c r="K23" s="344"/>
      <c r="L23" s="382"/>
      <c r="M23" s="383"/>
      <c r="N23" s="352"/>
      <c r="O23" s="384"/>
      <c r="P23" s="352">
        <f>IF(NOT(ISERROR(MATCH(O23,_xlfn.ANCHORARRAY(I34),0))),N36&amp;"Por favor no seleccionar los criterios de impacto",O23)</f>
        <v>0</v>
      </c>
      <c r="Q23" s="383"/>
      <c r="R23" s="352"/>
      <c r="S23" s="354"/>
      <c r="T23" s="171">
        <v>5</v>
      </c>
      <c r="U23" s="182"/>
      <c r="V23" s="173" t="str">
        <f t="shared" si="11"/>
        <v/>
      </c>
      <c r="W23" s="174"/>
      <c r="X23" s="174"/>
      <c r="Y23" s="175" t="str">
        <f t="shared" si="8"/>
        <v/>
      </c>
      <c r="Z23" s="174"/>
      <c r="AA23" s="174"/>
      <c r="AB23" s="174"/>
      <c r="AC23" s="176" t="str">
        <f t="shared" si="12"/>
        <v/>
      </c>
      <c r="AD23" s="177" t="str">
        <f t="shared" si="1"/>
        <v/>
      </c>
      <c r="AE23" s="178" t="str">
        <f t="shared" si="9"/>
        <v/>
      </c>
      <c r="AF23" s="177" t="str">
        <f t="shared" si="3"/>
        <v/>
      </c>
      <c r="AG23" s="178" t="str">
        <f t="shared" si="13"/>
        <v/>
      </c>
      <c r="AH23" s="179" t="str">
        <f t="shared" ref="AH23:AH24" si="14">IFERROR(IF(OR(AND(AD23="Muy Baja",AF23="Leve"),AND(AD23="Muy Baja",AF23="Menor"),AND(AD23="Baja",AF23="Leve")),"Bajo",IF(OR(AND(AD23="Muy baja",AF23="Moderado"),AND(AD23="Baja",AF23="Menor"),AND(AD23="Baja",AF23="Moderado"),AND(AD23="Media",AF23="Leve"),AND(AD23="Media",AF23="Menor"),AND(AD23="Media",AF23="Moderado"),AND(AD23="Alta",AF23="Leve"),AND(AD23="Alta",AF23="Menor")),"Moderado",IF(OR(AND(AD23="Muy Baja",AF23="Mayor"),AND(AD23="Baja",AF23="Mayor"),AND(AD23="Media",AF23="Mayor"),AND(AD23="Alta",AF23="Moderado"),AND(AD23="Alta",AF23="Mayor"),AND(AD23="Muy Alta",AF23="Leve"),AND(AD23="Muy Alta",AF23="Menor"),AND(AD23="Muy Alta",AF23="Moderado"),AND(AD23="Muy Alta",AF23="Mayor")),"Alto",IF(OR(AND(AD23="Muy Baja",AF23="Catastrófico"),AND(AD23="Baja",AF23="Catastrófico"),AND(AD23="Media",AF23="Catastrófico"),AND(AD23="Alta",AF23="Catastrófico"),AND(AD23="Muy Alta",AF23="Catastrófico")),"Extremo","")))),"")</f>
        <v/>
      </c>
      <c r="AI23" s="180"/>
      <c r="AJ23" s="314"/>
      <c r="AK23" s="341"/>
      <c r="AL23" s="330"/>
      <c r="AM23" s="330"/>
      <c r="AN23" s="323"/>
      <c r="AO23" s="326"/>
      <c r="AP23" s="311"/>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row>
    <row r="24" spans="1:73" s="169" customFormat="1" ht="62.25" customHeight="1" x14ac:dyDescent="0.2">
      <c r="A24" s="365"/>
      <c r="B24" s="351"/>
      <c r="C24" s="351"/>
      <c r="D24" s="344"/>
      <c r="E24" s="344"/>
      <c r="F24" s="385"/>
      <c r="G24" s="358"/>
      <c r="H24" s="355"/>
      <c r="I24" s="355"/>
      <c r="J24" s="355"/>
      <c r="K24" s="344"/>
      <c r="L24" s="382"/>
      <c r="M24" s="383"/>
      <c r="N24" s="352"/>
      <c r="O24" s="384"/>
      <c r="P24" s="352">
        <f>IF(NOT(ISERROR(MATCH(O24,_xlfn.ANCHORARRAY(I35),0))),N37&amp;"Por favor no seleccionar los criterios de impacto",O24)</f>
        <v>0</v>
      </c>
      <c r="Q24" s="383"/>
      <c r="R24" s="352"/>
      <c r="S24" s="354"/>
      <c r="T24" s="171">
        <v>6</v>
      </c>
      <c r="U24" s="182"/>
      <c r="V24" s="173" t="str">
        <f t="shared" si="11"/>
        <v/>
      </c>
      <c r="W24" s="174"/>
      <c r="X24" s="174"/>
      <c r="Y24" s="175" t="str">
        <f t="shared" si="8"/>
        <v/>
      </c>
      <c r="Z24" s="174"/>
      <c r="AA24" s="174"/>
      <c r="AB24" s="174"/>
      <c r="AC24" s="176" t="str">
        <f t="shared" si="12"/>
        <v/>
      </c>
      <c r="AD24" s="177" t="str">
        <f t="shared" si="1"/>
        <v/>
      </c>
      <c r="AE24" s="178" t="str">
        <f t="shared" si="9"/>
        <v/>
      </c>
      <c r="AF24" s="177" t="str">
        <f t="shared" si="3"/>
        <v/>
      </c>
      <c r="AG24" s="178" t="str">
        <f t="shared" si="13"/>
        <v/>
      </c>
      <c r="AH24" s="179" t="str">
        <f t="shared" si="14"/>
        <v/>
      </c>
      <c r="AI24" s="180"/>
      <c r="AJ24" s="315"/>
      <c r="AK24" s="341"/>
      <c r="AL24" s="330"/>
      <c r="AM24" s="330"/>
      <c r="AN24" s="324"/>
      <c r="AO24" s="327"/>
      <c r="AP24" s="311"/>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row>
    <row r="25" spans="1:73" s="169" customFormat="1" ht="122.25" x14ac:dyDescent="0.2">
      <c r="A25" s="365">
        <v>3</v>
      </c>
      <c r="B25" s="351" t="s">
        <v>215</v>
      </c>
      <c r="C25" s="351" t="s">
        <v>233</v>
      </c>
      <c r="D25" s="344" t="s">
        <v>133</v>
      </c>
      <c r="E25" s="356" t="s">
        <v>388</v>
      </c>
      <c r="F25" s="356" t="s">
        <v>387</v>
      </c>
      <c r="G25" s="356" t="s">
        <v>420</v>
      </c>
      <c r="H25" s="356" t="s">
        <v>421</v>
      </c>
      <c r="I25" s="385" t="s">
        <v>401</v>
      </c>
      <c r="J25" s="356" t="s">
        <v>386</v>
      </c>
      <c r="K25" s="344" t="s">
        <v>126</v>
      </c>
      <c r="L25" s="382">
        <v>8760</v>
      </c>
      <c r="M25" s="383" t="str">
        <f>IF(L25&lt;=0,"",IF(L25&lt;=2,"Muy Baja",IF(L25&lt;=24,"Baja",IF(L25&lt;=500,"Media",IF(L25&lt;=5000,"Alta","Muy Alta")))))</f>
        <v>Muy Alta</v>
      </c>
      <c r="N25" s="352">
        <f>IF(M25="","",IF(M25="Muy Baja",0.2,IF(M25="Baja",0.4,IF(M25="Media",0.6,IF(M25="Alta",0.8,IF(M25="Muy Alta",1,))))))</f>
        <v>1</v>
      </c>
      <c r="O25" s="384" t="s">
        <v>150</v>
      </c>
      <c r="P25" s="352" t="str">
        <f>IF(NOT(ISERROR(MATCH(O25,'Tabla Impacto'!$B$221:$B$223,0))),'Tabla Impacto'!$F$223&amp;"Por favor no seleccionar los criterios de impacto(Afectación Económica o presupuestal y Pérdida Reputacional)",O25)</f>
        <v xml:space="preserve">     Mayor a 500 SMLMV </v>
      </c>
      <c r="Q25" s="383" t="str">
        <f>IF(OR(P25='Tabla Impacto'!$C$11,P25='Tabla Impacto'!$D$11),"Leve",IF(OR(P25='Tabla Impacto'!$C$12,P25='Tabla Impacto'!$D$12),"Menor",IF(OR(P25='Tabla Impacto'!$C$13,P25='Tabla Impacto'!$D$13),"Moderado",IF(OR(P25='Tabla Impacto'!$C$14,P25='Tabla Impacto'!$D$14),"Mayor",IF(OR(P25='Tabla Impacto'!$C$15,P25='Tabla Impacto'!$D$15),"Catastrófico","")))))</f>
        <v>Catastrófico</v>
      </c>
      <c r="R25" s="352">
        <f>IF(Q25="","",IF(Q25="Leve",0.2,IF(Q25="Menor",0.4,IF(Q25="Moderado",0.6,IF(Q25="Mayor",0.8,IF(Q25="Catastrófico",1,))))))</f>
        <v>1</v>
      </c>
      <c r="S25" s="354" t="str">
        <f>IF(OR(AND(M25="Muy Baja",Q25="Leve"),AND(M25="Muy Baja",Q25="Menor"),AND(M25="Baja",Q25="Leve")),"Bajo",IF(OR(AND(M25="Muy baja",Q25="Moderado"),AND(M25="Baja",Q25="Menor"),AND(M25="Baja",Q25="Moderado"),AND(M25="Media",Q25="Leve"),AND(M25="Media",Q25="Menor"),AND(M25="Media",Q25="Moderado"),AND(M25="Alta",Q25="Leve"),AND(M25="Alta",Q25="Menor")),"Moderado",IF(OR(AND(M25="Muy Baja",Q25="Mayor"),AND(M25="Baja",Q25="Mayor"),AND(M25="Media",Q25="Mayor"),AND(M25="Alta",Q25="Moderado"),AND(M25="Alta",Q25="Mayor"),AND(M25="Muy Alta",Q25="Leve"),AND(M25="Muy Alta",Q25="Menor"),AND(M25="Muy Alta",Q25="Moderado"),AND(M25="Muy Alta",Q25="Mayor")),"Alto",IF(OR(AND(M25="Muy Baja",Q25="Catastrófico"),AND(M25="Baja",Q25="Catastrófico"),AND(M25="Media",Q25="Catastrófico"),AND(M25="Alta",Q25="Catastrófico"),AND(M25="Muy Alta",Q25="Catastrófico")),"Extremo",""))))</f>
        <v>Extremo</v>
      </c>
      <c r="T25" s="171">
        <v>1</v>
      </c>
      <c r="U25" s="172" t="s">
        <v>397</v>
      </c>
      <c r="V25" s="173" t="s">
        <v>4</v>
      </c>
      <c r="W25" s="174" t="s">
        <v>14</v>
      </c>
      <c r="X25" s="174" t="s">
        <v>10</v>
      </c>
      <c r="Y25" s="175" t="str">
        <f>IF(AND(W25="Preventivo",X25="Automático"),"50%",IF(AND(W25="Preventivo",X25="Manual"),"40%",IF(AND(W25="Detectivo",X25="Automático"),"40%",IF(AND(W25="Detectivo",X25="Manual"),"30%",IF(AND(W25="Correctivo",X25="Automático"),"35%",IF(AND(W25="Correctivo",X25="Manual"),"25%",""))))))</f>
        <v>50%</v>
      </c>
      <c r="Z25" s="174" t="s">
        <v>19</v>
      </c>
      <c r="AA25" s="174" t="s">
        <v>22</v>
      </c>
      <c r="AB25" s="174" t="s">
        <v>119</v>
      </c>
      <c r="AC25" s="184">
        <f>IFERROR(IF(V25="Probabilidad",(N25-(+N25*Y25)),IF(V25="Impacto",N25,"")),"")</f>
        <v>0.5</v>
      </c>
      <c r="AD25" s="177" t="str">
        <f>IFERROR(IF(AC25="","",IF(AC25&lt;=0.2,"Muy Baja",IF(AC25&lt;=0.4,"Baja",IF(AC25&lt;=0.6,"Media",IF(AC25&lt;=0.8,"Alta","Muy Alta"))))),"")</f>
        <v>Media</v>
      </c>
      <c r="AE25" s="178">
        <f>+AC25</f>
        <v>0.5</v>
      </c>
      <c r="AF25" s="177" t="str">
        <f>IFERROR(IF(AG25="","",IF(AG25&lt;=0.2,"Leve",IF(AG25&lt;=0.4,"Menor",IF(AG25&lt;=0.6,"Moderado",IF(AG25&lt;=0.8,"Mayor","Catastrófico"))))),"")</f>
        <v>Catastrófico</v>
      </c>
      <c r="AG25" s="178">
        <f>IFERROR(IF(V25="Impacto",(R25-(+R25*Y25)),IF(V25="Probabilidad",R25,"")),"")</f>
        <v>1</v>
      </c>
      <c r="AH25" s="179" t="str">
        <f>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Extremo</v>
      </c>
      <c r="AI25" s="180" t="s">
        <v>135</v>
      </c>
      <c r="AJ25" s="313" t="s">
        <v>405</v>
      </c>
      <c r="AK25" s="341" t="s">
        <v>398</v>
      </c>
      <c r="AL25" s="330">
        <v>44928</v>
      </c>
      <c r="AM25" s="331" t="s">
        <v>399</v>
      </c>
      <c r="AN25" s="328"/>
      <c r="AO25" s="329"/>
      <c r="AP25" s="311"/>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row>
    <row r="26" spans="1:73" s="169" customFormat="1" ht="100.5" customHeight="1" x14ac:dyDescent="0.2">
      <c r="A26" s="365"/>
      <c r="B26" s="351"/>
      <c r="C26" s="351"/>
      <c r="D26" s="344"/>
      <c r="E26" s="357"/>
      <c r="F26" s="357"/>
      <c r="G26" s="357"/>
      <c r="H26" s="357"/>
      <c r="I26" s="385"/>
      <c r="J26" s="357"/>
      <c r="K26" s="344"/>
      <c r="L26" s="382"/>
      <c r="M26" s="383"/>
      <c r="N26" s="352"/>
      <c r="O26" s="384"/>
      <c r="P26" s="352">
        <f>IF(NOT(ISERROR(MATCH(O26,_xlfn.ANCHORARRAY(I37),0))),N39&amp;"Por favor no seleccionar los criterios de impacto",O26)</f>
        <v>0</v>
      </c>
      <c r="Q26" s="383"/>
      <c r="R26" s="352"/>
      <c r="S26" s="354"/>
      <c r="T26" s="171">
        <v>2</v>
      </c>
      <c r="U26" s="172" t="s">
        <v>422</v>
      </c>
      <c r="V26" s="173" t="s">
        <v>4</v>
      </c>
      <c r="W26" s="174" t="s">
        <v>14</v>
      </c>
      <c r="X26" s="174" t="s">
        <v>10</v>
      </c>
      <c r="Y26" s="175" t="str">
        <f t="shared" ref="Y26:Y30" si="15">IF(AND(W26="Preventivo",X26="Automático"),"50%",IF(AND(W26="Preventivo",X26="Manual"),"40%",IF(AND(W26="Detectivo",X26="Automático"),"40%",IF(AND(W26="Detectivo",X26="Manual"),"30%",IF(AND(W26="Correctivo",X26="Automático"),"35%",IF(AND(W26="Correctivo",X26="Manual"),"25%",""))))))</f>
        <v>50%</v>
      </c>
      <c r="Z26" s="174" t="s">
        <v>19</v>
      </c>
      <c r="AA26" s="174" t="s">
        <v>22</v>
      </c>
      <c r="AB26" s="174" t="s">
        <v>119</v>
      </c>
      <c r="AC26" s="185">
        <f>IFERROR(IF(AND(V25="Probabilidad",V26="Probabilidad"),(AE25-(+AE25*Y26)),IF(V26="Probabilidad",(N25-(+N25*Y26)),IF(V26="Impacto",AE25,""))),"")</f>
        <v>0.25</v>
      </c>
      <c r="AD26" s="177" t="str">
        <f t="shared" si="1"/>
        <v>Baja</v>
      </c>
      <c r="AE26" s="178">
        <f t="shared" ref="AE26:AE30" si="16">+AC26</f>
        <v>0.25</v>
      </c>
      <c r="AF26" s="177" t="str">
        <f t="shared" si="3"/>
        <v>Catastrófico</v>
      </c>
      <c r="AG26" s="178">
        <f>IFERROR(IF(AND(V25="Impacto",V26="Impacto"),(AG25-(+AG25*Y26)),IF(V26="Impacto",(R25-(+R25*Y26)),IF(V26="Probabilidad",AG25,""))),"")</f>
        <v>1</v>
      </c>
      <c r="AH26" s="179" t="str">
        <f t="shared" ref="AH26:AH27" si="17">IFERROR(IF(OR(AND(AD26="Muy Baja",AF26="Leve"),AND(AD26="Muy Baja",AF26="Menor"),AND(AD26="Baja",AF26="Leve")),"Bajo",IF(OR(AND(AD26="Muy baja",AF26="Moderado"),AND(AD26="Baja",AF26="Menor"),AND(AD26="Baja",AF26="Moderado"),AND(AD26="Media",AF26="Leve"),AND(AD26="Media",AF26="Menor"),AND(AD26="Media",AF26="Moderado"),AND(AD26="Alta",AF26="Leve"),AND(AD26="Alta",AF26="Menor")),"Moderado",IF(OR(AND(AD26="Muy Baja",AF26="Mayor"),AND(AD26="Baja",AF26="Mayor"),AND(AD26="Media",AF26="Mayor"),AND(AD26="Alta",AF26="Moderado"),AND(AD26="Alta",AF26="Mayor"),AND(AD26="Muy Alta",AF26="Leve"),AND(AD26="Muy Alta",AF26="Menor"),AND(AD26="Muy Alta",AF26="Moderado"),AND(AD26="Muy Alta",AF26="Mayor")),"Alto",IF(OR(AND(AD26="Muy Baja",AF26="Catastrófico"),AND(AD26="Baja",AF26="Catastrófico"),AND(AD26="Media",AF26="Catastrófico"),AND(AD26="Alta",AF26="Catastrófico"),AND(AD26="Muy Alta",AF26="Catastrófico")),"Extremo","")))),"")</f>
        <v>Extremo</v>
      </c>
      <c r="AI26" s="180" t="s">
        <v>135</v>
      </c>
      <c r="AJ26" s="314"/>
      <c r="AK26" s="341"/>
      <c r="AL26" s="330"/>
      <c r="AM26" s="330"/>
      <c r="AN26" s="323"/>
      <c r="AO26" s="326"/>
      <c r="AP26" s="311"/>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row>
    <row r="27" spans="1:73" s="169" customFormat="1" ht="70.5" customHeight="1" x14ac:dyDescent="0.2">
      <c r="A27" s="365"/>
      <c r="B27" s="351"/>
      <c r="C27" s="351"/>
      <c r="D27" s="344"/>
      <c r="E27" s="357"/>
      <c r="F27" s="357"/>
      <c r="G27" s="357"/>
      <c r="H27" s="357"/>
      <c r="I27" s="385"/>
      <c r="J27" s="357"/>
      <c r="K27" s="344"/>
      <c r="L27" s="382"/>
      <c r="M27" s="383"/>
      <c r="N27" s="352"/>
      <c r="O27" s="384"/>
      <c r="P27" s="352">
        <f>IF(NOT(ISERROR(MATCH(O27,_xlfn.ANCHORARRAY(I38),0))),N40&amp;"Por favor no seleccionar los criterios de impacto",O27)</f>
        <v>0</v>
      </c>
      <c r="Q27" s="383"/>
      <c r="R27" s="352"/>
      <c r="S27" s="354"/>
      <c r="T27" s="171">
        <v>3</v>
      </c>
      <c r="U27" s="186"/>
      <c r="V27" s="173" t="str">
        <f>IF(OR(W27="Preventivo",W27="Detectivo"),"Probabilidad",IF(W27="Correctivo","Impacto",""))</f>
        <v/>
      </c>
      <c r="W27" s="174"/>
      <c r="X27" s="174"/>
      <c r="Y27" s="175" t="str">
        <f t="shared" si="15"/>
        <v/>
      </c>
      <c r="Z27" s="174"/>
      <c r="AA27" s="174"/>
      <c r="AB27" s="174"/>
      <c r="AC27" s="176" t="str">
        <f>IFERROR(IF(AND(V26="Probabilidad",V27="Probabilidad"),(AE26-(+AE26*Y27)),IF(AND(V26="Impacto",V27="Probabilidad"),(AE25-(+AE25*Y27)),IF(V27="Impacto",AE26,""))),"")</f>
        <v/>
      </c>
      <c r="AD27" s="177" t="str">
        <f t="shared" si="1"/>
        <v/>
      </c>
      <c r="AE27" s="178" t="str">
        <f t="shared" si="16"/>
        <v/>
      </c>
      <c r="AF27" s="177" t="str">
        <f t="shared" si="3"/>
        <v/>
      </c>
      <c r="AG27" s="178" t="str">
        <f>IFERROR(IF(AND(V26="Impacto",V27="Impacto"),(AG26-(+AG26*Y27)),IF(AND(V26="Probabilidad",V27="Impacto"),(AG25-(+AG25*Y27)),IF(V27="Probabilidad",AG26,""))),"")</f>
        <v/>
      </c>
      <c r="AH27" s="179" t="str">
        <f t="shared" si="17"/>
        <v/>
      </c>
      <c r="AI27" s="180"/>
      <c r="AJ27" s="314"/>
      <c r="AK27" s="341"/>
      <c r="AL27" s="330"/>
      <c r="AM27" s="330"/>
      <c r="AN27" s="323"/>
      <c r="AO27" s="326"/>
      <c r="AP27" s="311"/>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row>
    <row r="28" spans="1:73" s="169" customFormat="1" ht="70.5" customHeight="1" x14ac:dyDescent="0.2">
      <c r="A28" s="365"/>
      <c r="B28" s="351"/>
      <c r="C28" s="351"/>
      <c r="D28" s="344"/>
      <c r="E28" s="357"/>
      <c r="F28" s="357"/>
      <c r="G28" s="357"/>
      <c r="H28" s="357"/>
      <c r="I28" s="385"/>
      <c r="J28" s="357"/>
      <c r="K28" s="344"/>
      <c r="L28" s="382"/>
      <c r="M28" s="383"/>
      <c r="N28" s="352"/>
      <c r="O28" s="384"/>
      <c r="P28" s="352">
        <f>IF(NOT(ISERROR(MATCH(O28,_xlfn.ANCHORARRAY(I39),0))),N41&amp;"Por favor no seleccionar los criterios de impacto",O28)</f>
        <v>0</v>
      </c>
      <c r="Q28" s="383"/>
      <c r="R28" s="352"/>
      <c r="S28" s="354"/>
      <c r="T28" s="171">
        <v>4</v>
      </c>
      <c r="U28" s="182"/>
      <c r="V28" s="173" t="str">
        <f t="shared" ref="V28:V30" si="18">IF(OR(W28="Preventivo",W28="Detectivo"),"Probabilidad",IF(W28="Correctivo","Impacto",""))</f>
        <v/>
      </c>
      <c r="W28" s="174"/>
      <c r="X28" s="174"/>
      <c r="Y28" s="175" t="str">
        <f t="shared" si="15"/>
        <v/>
      </c>
      <c r="Z28" s="174"/>
      <c r="AA28" s="174"/>
      <c r="AB28" s="174"/>
      <c r="AC28" s="176" t="str">
        <f t="shared" ref="AC28:AC30" si="19">IFERROR(IF(AND(V27="Probabilidad",V28="Probabilidad"),(AE27-(+AE27*Y28)),IF(AND(V27="Impacto",V28="Probabilidad"),(AE26-(+AE26*Y28)),IF(V28="Impacto",AE27,""))),"")</f>
        <v/>
      </c>
      <c r="AD28" s="177" t="str">
        <f t="shared" si="1"/>
        <v/>
      </c>
      <c r="AE28" s="178" t="str">
        <f t="shared" si="16"/>
        <v/>
      </c>
      <c r="AF28" s="177" t="str">
        <f t="shared" si="3"/>
        <v/>
      </c>
      <c r="AG28" s="178" t="str">
        <f t="shared" ref="AG28:AG30" si="20">IFERROR(IF(AND(V27="Impacto",V28="Impacto"),(AG27-(+AG27*Y28)),IF(AND(V27="Probabilidad",V28="Impacto"),(AG26-(+AG26*Y28)),IF(V28="Probabilidad",AG27,""))),"")</f>
        <v/>
      </c>
      <c r="AH28" s="179" t="str">
        <f>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180"/>
      <c r="AJ28" s="314"/>
      <c r="AK28" s="341"/>
      <c r="AL28" s="330"/>
      <c r="AM28" s="330"/>
      <c r="AN28" s="323"/>
      <c r="AO28" s="326"/>
      <c r="AP28" s="311"/>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row>
    <row r="29" spans="1:73" s="169" customFormat="1" ht="70.5" customHeight="1" x14ac:dyDescent="0.2">
      <c r="A29" s="365"/>
      <c r="B29" s="351"/>
      <c r="C29" s="351"/>
      <c r="D29" s="344"/>
      <c r="E29" s="357"/>
      <c r="F29" s="357"/>
      <c r="G29" s="357"/>
      <c r="H29" s="357"/>
      <c r="I29" s="385"/>
      <c r="J29" s="357"/>
      <c r="K29" s="344"/>
      <c r="L29" s="382"/>
      <c r="M29" s="383"/>
      <c r="N29" s="352"/>
      <c r="O29" s="384"/>
      <c r="P29" s="352">
        <f>IF(NOT(ISERROR(MATCH(O29,_xlfn.ANCHORARRAY(I40),0))),N42&amp;"Por favor no seleccionar los criterios de impacto",O29)</f>
        <v>0</v>
      </c>
      <c r="Q29" s="383"/>
      <c r="R29" s="352"/>
      <c r="S29" s="354"/>
      <c r="T29" s="171">
        <v>5</v>
      </c>
      <c r="U29" s="182"/>
      <c r="V29" s="173" t="str">
        <f t="shared" si="18"/>
        <v/>
      </c>
      <c r="W29" s="174"/>
      <c r="X29" s="174"/>
      <c r="Y29" s="175" t="str">
        <f t="shared" si="15"/>
        <v/>
      </c>
      <c r="Z29" s="174"/>
      <c r="AA29" s="174"/>
      <c r="AB29" s="174"/>
      <c r="AC29" s="176" t="str">
        <f t="shared" si="19"/>
        <v/>
      </c>
      <c r="AD29" s="177" t="str">
        <f t="shared" si="1"/>
        <v/>
      </c>
      <c r="AE29" s="178" t="str">
        <f t="shared" si="16"/>
        <v/>
      </c>
      <c r="AF29" s="177" t="str">
        <f t="shared" si="3"/>
        <v/>
      </c>
      <c r="AG29" s="178" t="str">
        <f t="shared" si="20"/>
        <v/>
      </c>
      <c r="AH29" s="179" t="str">
        <f t="shared" ref="AH29:AH30" si="21">IFERROR(IF(OR(AND(AD29="Muy Baja",AF29="Leve"),AND(AD29="Muy Baja",AF29="Menor"),AND(AD29="Baja",AF29="Leve")),"Bajo",IF(OR(AND(AD29="Muy baja",AF29="Moderado"),AND(AD29="Baja",AF29="Menor"),AND(AD29="Baja",AF29="Moderado"),AND(AD29="Media",AF29="Leve"),AND(AD29="Media",AF29="Menor"),AND(AD29="Media",AF29="Moderado"),AND(AD29="Alta",AF29="Leve"),AND(AD29="Alta",AF29="Menor")),"Moderado",IF(OR(AND(AD29="Muy Baja",AF29="Mayor"),AND(AD29="Baja",AF29="Mayor"),AND(AD29="Media",AF29="Mayor"),AND(AD29="Alta",AF29="Moderado"),AND(AD29="Alta",AF29="Mayor"),AND(AD29="Muy Alta",AF29="Leve"),AND(AD29="Muy Alta",AF29="Menor"),AND(AD29="Muy Alta",AF29="Moderado"),AND(AD29="Muy Alta",AF29="Mayor")),"Alto",IF(OR(AND(AD29="Muy Baja",AF29="Catastrófico"),AND(AD29="Baja",AF29="Catastrófico"),AND(AD29="Media",AF29="Catastrófico"),AND(AD29="Alta",AF29="Catastrófico"),AND(AD29="Muy Alta",AF29="Catastrófico")),"Extremo","")))),"")</f>
        <v/>
      </c>
      <c r="AI29" s="180"/>
      <c r="AJ29" s="314"/>
      <c r="AK29" s="341"/>
      <c r="AL29" s="330"/>
      <c r="AM29" s="330"/>
      <c r="AN29" s="323"/>
      <c r="AO29" s="326"/>
      <c r="AP29" s="311"/>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row>
    <row r="30" spans="1:73" s="169" customFormat="1" ht="70.5" customHeight="1" x14ac:dyDescent="0.2">
      <c r="A30" s="365"/>
      <c r="B30" s="351"/>
      <c r="C30" s="351"/>
      <c r="D30" s="344"/>
      <c r="E30" s="358"/>
      <c r="F30" s="358"/>
      <c r="G30" s="358"/>
      <c r="H30" s="358"/>
      <c r="I30" s="385"/>
      <c r="J30" s="358"/>
      <c r="K30" s="344"/>
      <c r="L30" s="382"/>
      <c r="M30" s="383"/>
      <c r="N30" s="352"/>
      <c r="O30" s="384"/>
      <c r="P30" s="352">
        <f>IF(NOT(ISERROR(MATCH(O30,_xlfn.ANCHORARRAY(I41),0))),N43&amp;"Por favor no seleccionar los criterios de impacto",O30)</f>
        <v>0</v>
      </c>
      <c r="Q30" s="383"/>
      <c r="R30" s="352"/>
      <c r="S30" s="354"/>
      <c r="T30" s="171">
        <v>6</v>
      </c>
      <c r="U30" s="182"/>
      <c r="V30" s="173" t="str">
        <f t="shared" si="18"/>
        <v/>
      </c>
      <c r="W30" s="174"/>
      <c r="X30" s="174"/>
      <c r="Y30" s="175" t="str">
        <f t="shared" si="15"/>
        <v/>
      </c>
      <c r="Z30" s="174"/>
      <c r="AA30" s="174"/>
      <c r="AB30" s="174"/>
      <c r="AC30" s="176" t="str">
        <f t="shared" si="19"/>
        <v/>
      </c>
      <c r="AD30" s="177" t="str">
        <f t="shared" si="1"/>
        <v/>
      </c>
      <c r="AE30" s="178" t="str">
        <f t="shared" si="16"/>
        <v/>
      </c>
      <c r="AF30" s="177" t="str">
        <f t="shared" si="3"/>
        <v/>
      </c>
      <c r="AG30" s="178" t="str">
        <f t="shared" si="20"/>
        <v/>
      </c>
      <c r="AH30" s="179" t="str">
        <f t="shared" si="21"/>
        <v/>
      </c>
      <c r="AI30" s="180"/>
      <c r="AJ30" s="315"/>
      <c r="AK30" s="341"/>
      <c r="AL30" s="330"/>
      <c r="AM30" s="330"/>
      <c r="AN30" s="324"/>
      <c r="AO30" s="327"/>
      <c r="AP30" s="311"/>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row>
    <row r="31" spans="1:73" s="169" customFormat="1" ht="122.25" x14ac:dyDescent="0.2">
      <c r="A31" s="365">
        <v>4</v>
      </c>
      <c r="B31" s="351" t="s">
        <v>215</v>
      </c>
      <c r="C31" s="351" t="s">
        <v>233</v>
      </c>
      <c r="D31" s="344" t="s">
        <v>133</v>
      </c>
      <c r="E31" s="356" t="s">
        <v>392</v>
      </c>
      <c r="F31" s="356" t="s">
        <v>391</v>
      </c>
      <c r="G31" s="356" t="s">
        <v>424</v>
      </c>
      <c r="H31" s="356" t="s">
        <v>425</v>
      </c>
      <c r="I31" s="385" t="s">
        <v>389</v>
      </c>
      <c r="J31" s="356" t="s">
        <v>390</v>
      </c>
      <c r="K31" s="344" t="s">
        <v>129</v>
      </c>
      <c r="L31" s="382">
        <v>8760</v>
      </c>
      <c r="M31" s="383" t="str">
        <f>IF(L31&lt;=0,"",IF(L31&lt;=2,"Muy Baja",IF(L31&lt;=24,"Baja",IF(L31&lt;=500,"Media",IF(L31&lt;=5000,"Alta","Muy Alta")))))</f>
        <v>Muy Alta</v>
      </c>
      <c r="N31" s="352">
        <f>IF(M31="","",IF(M31="Muy Baja",0.2,IF(M31="Baja",0.4,IF(M31="Media",0.6,IF(M31="Alta",0.8,IF(M31="Muy Alta",1,))))))</f>
        <v>1</v>
      </c>
      <c r="O31" s="384" t="s">
        <v>150</v>
      </c>
      <c r="P31" s="352" t="str">
        <f>IF(NOT(ISERROR(MATCH(O31,'Tabla Impacto'!$B$221:$B$223,0))),'Tabla Impacto'!$F$223&amp;"Por favor no seleccionar los criterios de impacto(Afectación Económica o presupuestal y Pérdida Reputacional)",O31)</f>
        <v xml:space="preserve">     Mayor a 500 SMLMV </v>
      </c>
      <c r="Q31" s="383" t="str">
        <f>IF(OR(P31='Tabla Impacto'!$C$11,P31='Tabla Impacto'!$D$11),"Leve",IF(OR(P31='Tabla Impacto'!$C$12,P31='Tabla Impacto'!$D$12),"Menor",IF(OR(P31='Tabla Impacto'!$C$13,P31='Tabla Impacto'!$D$13),"Moderado",IF(OR(P31='Tabla Impacto'!$C$14,P31='Tabla Impacto'!$D$14),"Mayor",IF(OR(P31='Tabla Impacto'!$C$15,P31='Tabla Impacto'!$D$15),"Catastrófico","")))))</f>
        <v>Catastrófico</v>
      </c>
      <c r="R31" s="342">
        <f>IF(Q31="","",IF(Q31="Leve",0.2,IF(Q31="Menor",0.4,IF(Q31="Moderado",0.6,IF(Q31="Mayor",0.8,IF(Q31="Catastrófico",1,))))))</f>
        <v>1</v>
      </c>
      <c r="S31" s="346" t="str">
        <f>IF(OR(AND(M31="Muy Baja",Q31="Leve"),AND(M31="Muy Baja",Q31="Menor"),AND(M31="Baja",Q31="Leve")),"Bajo",IF(OR(AND(M31="Muy baja",Q31="Moderado"),AND(M31="Baja",Q31="Menor"),AND(M31="Baja",Q31="Moderado"),AND(M31="Media",Q31="Leve"),AND(M31="Media",Q31="Menor"),AND(M31="Media",Q31="Moderado"),AND(M31="Alta",Q31="Leve"),AND(M31="Alta",Q31="Menor")),"Moderado",IF(OR(AND(M31="Muy Baja",Q31="Mayor"),AND(M31="Baja",Q31="Mayor"),AND(M31="Media",Q31="Mayor"),AND(M31="Alta",Q31="Moderado"),AND(M31="Alta",Q31="Mayor"),AND(M31="Muy Alta",Q31="Leve"),AND(M31="Muy Alta",Q31="Menor"),AND(M31="Muy Alta",Q31="Moderado"),AND(M31="Muy Alta",Q31="Mayor")),"Alto",IF(OR(AND(M31="Muy Baja",Q31="Catastrófico"),AND(M31="Baja",Q31="Catastrófico"),AND(M31="Media",Q31="Catastrófico"),AND(M31="Alta",Q31="Catastrófico"),AND(M31="Muy Alta",Q31="Catastrófico")),"Extremo",""))))</f>
        <v>Extremo</v>
      </c>
      <c r="T31" s="171">
        <v>1</v>
      </c>
      <c r="U31" s="182" t="s">
        <v>410</v>
      </c>
      <c r="V31" s="173" t="str">
        <f>IF(OR(W31="Preventivo",W31="Detectivo"),"Probabilidad",IF(W31="Correctivo","Impacto",""))</f>
        <v>Probabilidad</v>
      </c>
      <c r="W31" s="174" t="s">
        <v>14</v>
      </c>
      <c r="X31" s="174" t="s">
        <v>10</v>
      </c>
      <c r="Y31" s="175" t="str">
        <f>IF(AND(W31="Preventivo",X31="Automático"),"50%",IF(AND(W31="Preventivo",X31="Manual"),"40%",IF(AND(W31="Detectivo",X31="Automático"),"40%",IF(AND(W31="Detectivo",X31="Manual"),"30%",IF(AND(W31="Correctivo",X31="Automático"),"35%",IF(AND(W31="Correctivo",X31="Manual"),"25%",""))))))</f>
        <v>50%</v>
      </c>
      <c r="Z31" s="174" t="s">
        <v>19</v>
      </c>
      <c r="AA31" s="174" t="s">
        <v>22</v>
      </c>
      <c r="AB31" s="174" t="s">
        <v>119</v>
      </c>
      <c r="AC31" s="176">
        <f>IFERROR(IF(V31="Probabilidad",(N31-(+N31*Y31)),IF(V31="Impacto",N31,"")),"")</f>
        <v>0.5</v>
      </c>
      <c r="AD31" s="177" t="str">
        <f>IFERROR(IF(AC31="","",IF(AC31&lt;=0.2,"Muy Baja",IF(AC31&lt;=0.4,"Baja",IF(AC31&lt;=0.6,"Media",IF(AC31&lt;=0.8,"Alta","Muy Alta"))))),"")</f>
        <v>Media</v>
      </c>
      <c r="AE31" s="178">
        <f>+AC31</f>
        <v>0.5</v>
      </c>
      <c r="AF31" s="177" t="str">
        <f>IFERROR(IF(AG31="","",IF(AG31&lt;=0.2,"Leve",IF(AG31&lt;=0.4,"Menor",IF(AG31&lt;=0.6,"Moderado",IF(AG31&lt;=0.8,"Mayor","Catastrófico"))))),"")</f>
        <v>Catastrófico</v>
      </c>
      <c r="AG31" s="178">
        <f>IFERROR(IF(V31="Impacto",(R31-(+R31*Y31)),IF(V31="Probabilidad",R31,"")),"")</f>
        <v>1</v>
      </c>
      <c r="AH31" s="179" t="str">
        <f>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Extremo</v>
      </c>
      <c r="AI31" s="180" t="s">
        <v>135</v>
      </c>
      <c r="AJ31" s="313" t="s">
        <v>407</v>
      </c>
      <c r="AK31" s="341" t="s">
        <v>398</v>
      </c>
      <c r="AL31" s="330">
        <v>44928</v>
      </c>
      <c r="AM31" s="331" t="s">
        <v>399</v>
      </c>
      <c r="AN31" s="319"/>
      <c r="AO31" s="316"/>
      <c r="AP31" s="312" t="s">
        <v>423</v>
      </c>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row>
    <row r="32" spans="1:73" s="169" customFormat="1" ht="96" customHeight="1" x14ac:dyDescent="0.2">
      <c r="A32" s="365"/>
      <c r="B32" s="351"/>
      <c r="C32" s="351"/>
      <c r="D32" s="344"/>
      <c r="E32" s="357"/>
      <c r="F32" s="357"/>
      <c r="G32" s="357"/>
      <c r="H32" s="357"/>
      <c r="I32" s="385"/>
      <c r="J32" s="357"/>
      <c r="K32" s="344"/>
      <c r="L32" s="382"/>
      <c r="M32" s="383"/>
      <c r="N32" s="352"/>
      <c r="O32" s="384"/>
      <c r="P32" s="352">
        <f>IF(NOT(ISERROR(MATCH(O32,_xlfn.ANCHORARRAY(I43),0))),N45&amp;"Por favor no seleccionar los criterios de impacto",O32)</f>
        <v>0</v>
      </c>
      <c r="Q32" s="383"/>
      <c r="R32" s="342"/>
      <c r="S32" s="346"/>
      <c r="T32" s="171">
        <v>2</v>
      </c>
      <c r="U32" s="182" t="s">
        <v>409</v>
      </c>
      <c r="V32" s="173" t="str">
        <f>IF(OR(W32="Preventivo",W32="Detectivo"),"Probabilidad",IF(W32="Correctivo","Impacto",""))</f>
        <v>Probabilidad</v>
      </c>
      <c r="W32" s="174" t="s">
        <v>14</v>
      </c>
      <c r="X32" s="174" t="s">
        <v>10</v>
      </c>
      <c r="Y32" s="175" t="str">
        <f t="shared" ref="Y32:Y36" si="22">IF(AND(W32="Preventivo",X32="Automático"),"50%",IF(AND(W32="Preventivo",X32="Manual"),"40%",IF(AND(W32="Detectivo",X32="Automático"),"40%",IF(AND(W32="Detectivo",X32="Manual"),"30%",IF(AND(W32="Correctivo",X32="Automático"),"35%",IF(AND(W32="Correctivo",X32="Manual"),"25%",""))))))</f>
        <v>50%</v>
      </c>
      <c r="Z32" s="174" t="s">
        <v>19</v>
      </c>
      <c r="AA32" s="174" t="s">
        <v>22</v>
      </c>
      <c r="AB32" s="174" t="s">
        <v>119</v>
      </c>
      <c r="AC32" s="176">
        <f>IFERROR(IF(AND(V31="Probabilidad",V32="Probabilidad"),(AE31-(+AE31*Y32)),IF(V32="Probabilidad",(N31-(+N31*Y32)),IF(V32="Impacto",AE31,""))),"")</f>
        <v>0.25</v>
      </c>
      <c r="AD32" s="177" t="str">
        <f t="shared" si="1"/>
        <v>Baja</v>
      </c>
      <c r="AE32" s="178">
        <f t="shared" ref="AE32:AE36" si="23">+AC32</f>
        <v>0.25</v>
      </c>
      <c r="AF32" s="177" t="str">
        <f t="shared" si="3"/>
        <v>Catastrófico</v>
      </c>
      <c r="AG32" s="178">
        <f>IFERROR(IF(AND(V31="Impacto",V32="Impacto"),(AG31-(+AG31*Y32)),IF(V32="Impacto",(R31-(+R31*Y32)),IF(V32="Probabilidad",AG31,""))),"")</f>
        <v>1</v>
      </c>
      <c r="AH32" s="179" t="str">
        <f t="shared" ref="AH32:AH33" si="24">IFERROR(IF(OR(AND(AD32="Muy Baja",AF32="Leve"),AND(AD32="Muy Baja",AF32="Menor"),AND(AD32="Baja",AF32="Leve")),"Bajo",IF(OR(AND(AD32="Muy baja",AF32="Moderado"),AND(AD32="Baja",AF32="Menor"),AND(AD32="Baja",AF32="Moderado"),AND(AD32="Media",AF32="Leve"),AND(AD32="Media",AF32="Menor"),AND(AD32="Media",AF32="Moderado"),AND(AD32="Alta",AF32="Leve"),AND(AD32="Alta",AF32="Menor")),"Moderado",IF(OR(AND(AD32="Muy Baja",AF32="Mayor"),AND(AD32="Baja",AF32="Mayor"),AND(AD32="Media",AF32="Mayor"),AND(AD32="Alta",AF32="Moderado"),AND(AD32="Alta",AF32="Mayor"),AND(AD32="Muy Alta",AF32="Leve"),AND(AD32="Muy Alta",AF32="Menor"),AND(AD32="Muy Alta",AF32="Moderado"),AND(AD32="Muy Alta",AF32="Mayor")),"Alto",IF(OR(AND(AD32="Muy Baja",AF32="Catastrófico"),AND(AD32="Baja",AF32="Catastrófico"),AND(AD32="Media",AF32="Catastrófico"),AND(AD32="Alta",AF32="Catastrófico"),AND(AD32="Muy Alta",AF32="Catastrófico")),"Extremo","")))),"")</f>
        <v>Extremo</v>
      </c>
      <c r="AI32" s="180"/>
      <c r="AJ32" s="314"/>
      <c r="AK32" s="341"/>
      <c r="AL32" s="330"/>
      <c r="AM32" s="330"/>
      <c r="AN32" s="320"/>
      <c r="AO32" s="317"/>
      <c r="AP32" s="312"/>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row>
    <row r="33" spans="1:73" s="169" customFormat="1" ht="70.5" customHeight="1" x14ac:dyDescent="0.2">
      <c r="A33" s="365"/>
      <c r="B33" s="351"/>
      <c r="C33" s="351"/>
      <c r="D33" s="344"/>
      <c r="E33" s="357"/>
      <c r="F33" s="357"/>
      <c r="G33" s="357"/>
      <c r="H33" s="357"/>
      <c r="I33" s="385"/>
      <c r="J33" s="357"/>
      <c r="K33" s="344"/>
      <c r="L33" s="382"/>
      <c r="M33" s="383"/>
      <c r="N33" s="352"/>
      <c r="O33" s="384"/>
      <c r="P33" s="352">
        <f>IF(NOT(ISERROR(MATCH(O33,_xlfn.ANCHORARRAY(I44),0))),N46&amp;"Por favor no seleccionar los criterios de impacto",O33)</f>
        <v>0</v>
      </c>
      <c r="Q33" s="383"/>
      <c r="R33" s="342"/>
      <c r="S33" s="346"/>
      <c r="T33" s="171">
        <v>3</v>
      </c>
      <c r="U33" s="186"/>
      <c r="V33" s="173" t="str">
        <f>IF(OR(W33="Preventivo",W33="Detectivo"),"Probabilidad",IF(W33="Correctivo","Impacto",""))</f>
        <v/>
      </c>
      <c r="W33" s="174"/>
      <c r="X33" s="174"/>
      <c r="Y33" s="175" t="str">
        <f t="shared" si="22"/>
        <v/>
      </c>
      <c r="Z33" s="174"/>
      <c r="AA33" s="174"/>
      <c r="AB33" s="174"/>
      <c r="AC33" s="176" t="str">
        <f>IFERROR(IF(AND(V32="Probabilidad",V33="Probabilidad"),(AE32-(+AE32*Y33)),IF(AND(V32="Impacto",V33="Probabilidad"),(AE31-(+AE31*Y33)),IF(V33="Impacto",AE32,""))),"")</f>
        <v/>
      </c>
      <c r="AD33" s="177" t="str">
        <f t="shared" si="1"/>
        <v/>
      </c>
      <c r="AE33" s="178" t="str">
        <f t="shared" si="23"/>
        <v/>
      </c>
      <c r="AF33" s="177" t="str">
        <f t="shared" si="3"/>
        <v/>
      </c>
      <c r="AG33" s="178" t="str">
        <f>IFERROR(IF(AND(V32="Impacto",V33="Impacto"),(AG32-(+AG32*Y33)),IF(AND(V32="Probabilidad",V33="Impacto"),(AG31-(+AG31*Y33)),IF(V33="Probabilidad",AG32,""))),"")</f>
        <v/>
      </c>
      <c r="AH33" s="179" t="str">
        <f t="shared" si="24"/>
        <v/>
      </c>
      <c r="AI33" s="180"/>
      <c r="AJ33" s="314"/>
      <c r="AK33" s="341"/>
      <c r="AL33" s="330"/>
      <c r="AM33" s="330"/>
      <c r="AN33" s="320"/>
      <c r="AO33" s="317"/>
      <c r="AP33" s="312"/>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row>
    <row r="34" spans="1:73" s="169" customFormat="1" ht="70.5" customHeight="1" x14ac:dyDescent="0.2">
      <c r="A34" s="365"/>
      <c r="B34" s="351"/>
      <c r="C34" s="351"/>
      <c r="D34" s="344"/>
      <c r="E34" s="357"/>
      <c r="F34" s="357"/>
      <c r="G34" s="357"/>
      <c r="H34" s="357"/>
      <c r="I34" s="385"/>
      <c r="J34" s="357"/>
      <c r="K34" s="344"/>
      <c r="L34" s="382"/>
      <c r="M34" s="383"/>
      <c r="N34" s="352"/>
      <c r="O34" s="384"/>
      <c r="P34" s="352">
        <f>IF(NOT(ISERROR(MATCH(O34,_xlfn.ANCHORARRAY(I45),0))),N47&amp;"Por favor no seleccionar los criterios de impacto",O34)</f>
        <v>0</v>
      </c>
      <c r="Q34" s="383"/>
      <c r="R34" s="342"/>
      <c r="S34" s="346"/>
      <c r="T34" s="171">
        <v>4</v>
      </c>
      <c r="U34" s="182"/>
      <c r="V34" s="173" t="str">
        <f t="shared" ref="V34:V36" si="25">IF(OR(W34="Preventivo",W34="Detectivo"),"Probabilidad",IF(W34="Correctivo","Impacto",""))</f>
        <v/>
      </c>
      <c r="W34" s="174"/>
      <c r="X34" s="174"/>
      <c r="Y34" s="175" t="str">
        <f t="shared" si="22"/>
        <v/>
      </c>
      <c r="Z34" s="174"/>
      <c r="AA34" s="174"/>
      <c r="AB34" s="174"/>
      <c r="AC34" s="176" t="str">
        <f t="shared" ref="AC34:AC36" si="26">IFERROR(IF(AND(V33="Probabilidad",V34="Probabilidad"),(AE33-(+AE33*Y34)),IF(AND(V33="Impacto",V34="Probabilidad"),(AE32-(+AE32*Y34)),IF(V34="Impacto",AE33,""))),"")</f>
        <v/>
      </c>
      <c r="AD34" s="177" t="str">
        <f t="shared" si="1"/>
        <v/>
      </c>
      <c r="AE34" s="178" t="str">
        <f t="shared" si="23"/>
        <v/>
      </c>
      <c r="AF34" s="177" t="str">
        <f t="shared" si="3"/>
        <v/>
      </c>
      <c r="AG34" s="178" t="str">
        <f t="shared" ref="AG34:AG36" si="27">IFERROR(IF(AND(V33="Impacto",V34="Impacto"),(AG33-(+AG33*Y34)),IF(AND(V33="Probabilidad",V34="Impacto"),(AG32-(+AG32*Y34)),IF(V34="Probabilidad",AG33,""))),"")</f>
        <v/>
      </c>
      <c r="AH34" s="179" t="str">
        <f>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
      </c>
      <c r="AI34" s="180"/>
      <c r="AJ34" s="314"/>
      <c r="AK34" s="341"/>
      <c r="AL34" s="330"/>
      <c r="AM34" s="330"/>
      <c r="AN34" s="320"/>
      <c r="AO34" s="317"/>
      <c r="AP34" s="312"/>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row>
    <row r="35" spans="1:73" s="169" customFormat="1" ht="70.5" customHeight="1" x14ac:dyDescent="0.2">
      <c r="A35" s="365"/>
      <c r="B35" s="351"/>
      <c r="C35" s="351"/>
      <c r="D35" s="344"/>
      <c r="E35" s="357"/>
      <c r="F35" s="357"/>
      <c r="G35" s="357"/>
      <c r="H35" s="357"/>
      <c r="I35" s="385"/>
      <c r="J35" s="357"/>
      <c r="K35" s="344"/>
      <c r="L35" s="382"/>
      <c r="M35" s="383"/>
      <c r="N35" s="352"/>
      <c r="O35" s="384"/>
      <c r="P35" s="352">
        <f>IF(NOT(ISERROR(MATCH(O35,_xlfn.ANCHORARRAY(I46),0))),N48&amp;"Por favor no seleccionar los criterios de impacto",O35)</f>
        <v>0</v>
      </c>
      <c r="Q35" s="383"/>
      <c r="R35" s="342"/>
      <c r="S35" s="346"/>
      <c r="T35" s="171">
        <v>5</v>
      </c>
      <c r="U35" s="182"/>
      <c r="V35" s="173" t="str">
        <f t="shared" si="25"/>
        <v/>
      </c>
      <c r="W35" s="174"/>
      <c r="X35" s="174"/>
      <c r="Y35" s="175" t="str">
        <f t="shared" si="22"/>
        <v/>
      </c>
      <c r="Z35" s="174"/>
      <c r="AA35" s="174"/>
      <c r="AB35" s="174"/>
      <c r="AC35" s="187" t="str">
        <f t="shared" si="26"/>
        <v/>
      </c>
      <c r="AD35" s="177" t="str">
        <f>IFERROR(IF(AC35="","",IF(AC35&lt;=0.2,"Muy Baja",IF(AC35&lt;=0.4,"Baja",IF(AC35&lt;=0.6,"Media",IF(AC35&lt;=0.8,"Alta","Muy Alta"))))),"")</f>
        <v/>
      </c>
      <c r="AE35" s="178" t="str">
        <f t="shared" si="23"/>
        <v/>
      </c>
      <c r="AF35" s="177" t="str">
        <f t="shared" si="3"/>
        <v/>
      </c>
      <c r="AG35" s="178" t="str">
        <f t="shared" si="27"/>
        <v/>
      </c>
      <c r="AH35" s="179" t="str">
        <f t="shared" ref="AH35:AH36" si="28">IFERROR(IF(OR(AND(AD35="Muy Baja",AF35="Leve"),AND(AD35="Muy Baja",AF35="Menor"),AND(AD35="Baja",AF35="Leve")),"Bajo",IF(OR(AND(AD35="Muy baja",AF35="Moderado"),AND(AD35="Baja",AF35="Menor"),AND(AD35="Baja",AF35="Moderado"),AND(AD35="Media",AF35="Leve"),AND(AD35="Media",AF35="Menor"),AND(AD35="Media",AF35="Moderado"),AND(AD35="Alta",AF35="Leve"),AND(AD35="Alta",AF35="Menor")),"Moderado",IF(OR(AND(AD35="Muy Baja",AF35="Mayor"),AND(AD35="Baja",AF35="Mayor"),AND(AD35="Media",AF35="Mayor"),AND(AD35="Alta",AF35="Moderado"),AND(AD35="Alta",AF35="Mayor"),AND(AD35="Muy Alta",AF35="Leve"),AND(AD35="Muy Alta",AF35="Menor"),AND(AD35="Muy Alta",AF35="Moderado"),AND(AD35="Muy Alta",AF35="Mayor")),"Alto",IF(OR(AND(AD35="Muy Baja",AF35="Catastrófico"),AND(AD35="Baja",AF35="Catastrófico"),AND(AD35="Media",AF35="Catastrófico"),AND(AD35="Alta",AF35="Catastrófico"),AND(AD35="Muy Alta",AF35="Catastrófico")),"Extremo","")))),"")</f>
        <v/>
      </c>
      <c r="AI35" s="180"/>
      <c r="AJ35" s="314"/>
      <c r="AK35" s="341"/>
      <c r="AL35" s="330"/>
      <c r="AM35" s="330"/>
      <c r="AN35" s="320"/>
      <c r="AO35" s="317"/>
      <c r="AP35" s="312"/>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row>
    <row r="36" spans="1:73" s="169" customFormat="1" ht="70.5" customHeight="1" x14ac:dyDescent="0.2">
      <c r="A36" s="365"/>
      <c r="B36" s="351"/>
      <c r="C36" s="351"/>
      <c r="D36" s="344"/>
      <c r="E36" s="358"/>
      <c r="F36" s="358"/>
      <c r="G36" s="358"/>
      <c r="H36" s="358"/>
      <c r="I36" s="385"/>
      <c r="J36" s="358"/>
      <c r="K36" s="344"/>
      <c r="L36" s="382"/>
      <c r="M36" s="383"/>
      <c r="N36" s="352"/>
      <c r="O36" s="384"/>
      <c r="P36" s="352">
        <f>IF(NOT(ISERROR(MATCH(O36,_xlfn.ANCHORARRAY(I47),0))),N49&amp;"Por favor no seleccionar los criterios de impacto",O36)</f>
        <v>0</v>
      </c>
      <c r="Q36" s="383"/>
      <c r="R36" s="342"/>
      <c r="S36" s="346"/>
      <c r="T36" s="171">
        <v>6</v>
      </c>
      <c r="U36" s="182"/>
      <c r="V36" s="173" t="str">
        <f t="shared" si="25"/>
        <v/>
      </c>
      <c r="W36" s="174"/>
      <c r="X36" s="174"/>
      <c r="Y36" s="175" t="str">
        <f t="shared" si="22"/>
        <v/>
      </c>
      <c r="Z36" s="174"/>
      <c r="AA36" s="174"/>
      <c r="AB36" s="174"/>
      <c r="AC36" s="176" t="str">
        <f t="shared" si="26"/>
        <v/>
      </c>
      <c r="AD36" s="177" t="str">
        <f t="shared" si="1"/>
        <v/>
      </c>
      <c r="AE36" s="178" t="str">
        <f t="shared" si="23"/>
        <v/>
      </c>
      <c r="AF36" s="177" t="str">
        <f t="shared" si="3"/>
        <v/>
      </c>
      <c r="AG36" s="178" t="str">
        <f t="shared" si="27"/>
        <v/>
      </c>
      <c r="AH36" s="179" t="str">
        <f t="shared" si="28"/>
        <v/>
      </c>
      <c r="AI36" s="180"/>
      <c r="AJ36" s="315"/>
      <c r="AK36" s="341"/>
      <c r="AL36" s="330"/>
      <c r="AM36" s="330"/>
      <c r="AN36" s="321"/>
      <c r="AO36" s="318"/>
      <c r="AP36" s="312"/>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row>
    <row r="37" spans="1:73" s="169" customFormat="1" ht="93.75" customHeight="1" x14ac:dyDescent="0.2">
      <c r="A37" s="365">
        <v>5</v>
      </c>
      <c r="B37" s="351" t="s">
        <v>215</v>
      </c>
      <c r="C37" s="351" t="s">
        <v>233</v>
      </c>
      <c r="D37" s="344" t="s">
        <v>133</v>
      </c>
      <c r="E37" s="344" t="s">
        <v>395</v>
      </c>
      <c r="F37" s="344" t="s">
        <v>394</v>
      </c>
      <c r="G37" s="359" t="s">
        <v>426</v>
      </c>
      <c r="H37" s="359" t="s">
        <v>427</v>
      </c>
      <c r="I37" s="385" t="s">
        <v>428</v>
      </c>
      <c r="J37" s="356" t="s">
        <v>393</v>
      </c>
      <c r="K37" s="344" t="s">
        <v>129</v>
      </c>
      <c r="L37" s="382">
        <v>8760</v>
      </c>
      <c r="M37" s="383" t="str">
        <f>IF(L37&lt;=0,"",IF(L37&lt;=2,"Muy Baja",IF(L37&lt;=24,"Baja",IF(L37&lt;=500,"Media",IF(L37&lt;=5000,"Alta","Muy Alta")))))</f>
        <v>Muy Alta</v>
      </c>
      <c r="N37" s="352">
        <f>IF(M37="","",IF(M37="Muy Baja",0.2,IF(M37="Baja",0.4,IF(M37="Media",0.6,IF(M37="Alta",0.8,IF(M37="Muy Alta",1,))))))</f>
        <v>1</v>
      </c>
      <c r="O37" s="384" t="s">
        <v>150</v>
      </c>
      <c r="P37" s="352" t="str">
        <f>IF(NOT(ISERROR(MATCH(O37,'Tabla Impacto'!$B$221:$B$223,0))),'Tabla Impacto'!$F$223&amp;"Por favor no seleccionar los criterios de impacto(Afectación Económica o presupuestal y Pérdida Reputacional)",O37)</f>
        <v xml:space="preserve">     Mayor a 500 SMLMV </v>
      </c>
      <c r="Q37" s="383" t="str">
        <f>IF(OR(P37='Tabla Impacto'!$C$11,P37='Tabla Impacto'!$D$11),"Leve",IF(OR(P37='Tabla Impacto'!$C$12,P37='Tabla Impacto'!$D$12),"Menor",IF(OR(P37='Tabla Impacto'!$C$13,P37='Tabla Impacto'!$D$13),"Moderado",IF(OR(P37='Tabla Impacto'!$C$14,P37='Tabla Impacto'!$D$14),"Mayor",IF(OR(P37='Tabla Impacto'!$C$15,P37='Tabla Impacto'!$D$15),"Catastrófico","")))))</f>
        <v>Catastrófico</v>
      </c>
      <c r="R37" s="352">
        <f>IF(Q37="","",IF(Q37="Leve",0.2,IF(Q37="Menor",0.4,IF(Q37="Moderado",0.6,IF(Q37="Mayor",0.8,IF(Q37="Catastrófico",1,))))))</f>
        <v>1</v>
      </c>
      <c r="S37" s="354" t="str">
        <f>IF(OR(AND(M37="Muy Baja",Q37="Leve"),AND(M37="Muy Baja",Q37="Menor"),AND(M37="Baja",Q37="Leve")),"Bajo",IF(OR(AND(M37="Muy baja",Q37="Moderado"),AND(M37="Baja",Q37="Menor"),AND(M37="Baja",Q37="Moderado"),AND(M37="Media",Q37="Leve"),AND(M37="Media",Q37="Menor"),AND(M37="Media",Q37="Moderado"),AND(M37="Alta",Q37="Leve"),AND(M37="Alta",Q37="Menor")),"Moderado",IF(OR(AND(M37="Muy Baja",Q37="Mayor"),AND(M37="Baja",Q37="Mayor"),AND(M37="Media",Q37="Mayor"),AND(M37="Alta",Q37="Moderado"),AND(M37="Alta",Q37="Mayor"),AND(M37="Muy Alta",Q37="Leve"),AND(M37="Muy Alta",Q37="Menor"),AND(M37="Muy Alta",Q37="Moderado"),AND(M37="Muy Alta",Q37="Mayor")),"Alto",IF(OR(AND(M37="Muy Baja",Q37="Catastrófico"),AND(M37="Baja",Q37="Catastrófico"),AND(M37="Media",Q37="Catastrófico"),AND(M37="Alta",Q37="Catastrófico"),AND(M37="Muy Alta",Q37="Catastrófico")),"Extremo",""))))</f>
        <v>Extremo</v>
      </c>
      <c r="T37" s="171">
        <v>1</v>
      </c>
      <c r="U37" s="182" t="s">
        <v>402</v>
      </c>
      <c r="V37" s="173" t="str">
        <f>IF(OR(W37="Preventivo",W37="Detectivo"),"Probabilidad",IF(W37="Correctivo","Impacto",""))</f>
        <v>Probabilidad</v>
      </c>
      <c r="W37" s="174" t="s">
        <v>14</v>
      </c>
      <c r="X37" s="174" t="s">
        <v>9</v>
      </c>
      <c r="Y37" s="175" t="str">
        <f>IF(AND(W37="Preventivo",X37="Automático"),"50%",IF(AND(W37="Preventivo",X37="Manual"),"40%",IF(AND(W37="Detectivo",X37="Automático"),"40%",IF(AND(W37="Detectivo",X37="Manual"),"30%",IF(AND(W37="Correctivo",X37="Automático"),"35%",IF(AND(W37="Correctivo",X37="Manual"),"25%",""))))))</f>
        <v>40%</v>
      </c>
      <c r="Z37" s="174" t="s">
        <v>19</v>
      </c>
      <c r="AA37" s="174" t="s">
        <v>22</v>
      </c>
      <c r="AB37" s="174" t="s">
        <v>119</v>
      </c>
      <c r="AC37" s="176">
        <f>IFERROR(IF(V37="Probabilidad",(N37-(+N37*Y37)),IF(V37="Impacto",N37,"")),"")</f>
        <v>0.6</v>
      </c>
      <c r="AD37" s="177" t="str">
        <f>IFERROR(IF(AC37="","",IF(AC37&lt;=0.2,"Muy Baja",IF(AC37&lt;=0.4,"Baja",IF(AC37&lt;=0.6,"Media",IF(AC37&lt;=0.8,"Alta","Muy Alta"))))),"")</f>
        <v>Media</v>
      </c>
      <c r="AE37" s="178">
        <f>+AC37</f>
        <v>0.6</v>
      </c>
      <c r="AF37" s="177" t="str">
        <f>IFERROR(IF(AG37="","",IF(AG37&lt;=0.2,"Leve",IF(AG37&lt;=0.4,"Menor",IF(AG37&lt;=0.6,"Moderado",IF(AG37&lt;=0.8,"Mayor","Catastrófico"))))),"")</f>
        <v>Catastrófico</v>
      </c>
      <c r="AG37" s="178">
        <f>IFERROR(IF(V37="Impacto",(R37-(+R37*Y37)),IF(V37="Probabilidad",R37,"")),"")</f>
        <v>1</v>
      </c>
      <c r="AH37" s="179" t="str">
        <f>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Extremo</v>
      </c>
      <c r="AI37" s="180" t="s">
        <v>135</v>
      </c>
      <c r="AJ37" s="313" t="s">
        <v>406</v>
      </c>
      <c r="AK37" s="341" t="s">
        <v>398</v>
      </c>
      <c r="AL37" s="330">
        <v>44928</v>
      </c>
      <c r="AM37" s="331" t="s">
        <v>399</v>
      </c>
      <c r="AN37" s="319"/>
      <c r="AO37" s="316"/>
      <c r="AP37" s="311"/>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row>
    <row r="38" spans="1:73" s="169" customFormat="1" ht="84" customHeight="1" x14ac:dyDescent="0.2">
      <c r="A38" s="365"/>
      <c r="B38" s="351"/>
      <c r="C38" s="351"/>
      <c r="D38" s="344"/>
      <c r="E38" s="344"/>
      <c r="F38" s="344"/>
      <c r="G38" s="360"/>
      <c r="H38" s="360"/>
      <c r="I38" s="385"/>
      <c r="J38" s="357"/>
      <c r="K38" s="344"/>
      <c r="L38" s="382"/>
      <c r="M38" s="383"/>
      <c r="N38" s="352"/>
      <c r="O38" s="384"/>
      <c r="P38" s="352">
        <f>IF(NOT(ISERROR(MATCH(O38,_xlfn.ANCHORARRAY(I49),0))),N51&amp;"Por favor no seleccionar los criterios de impacto",O38)</f>
        <v>0</v>
      </c>
      <c r="Q38" s="383"/>
      <c r="R38" s="352"/>
      <c r="S38" s="354"/>
      <c r="T38" s="171">
        <v>2</v>
      </c>
      <c r="U38" s="182" t="s">
        <v>411</v>
      </c>
      <c r="V38" s="173" t="str">
        <f>IF(OR(W38="Preventivo",W38="Detectivo"),"Probabilidad",IF(W38="Correctivo","Impacto",""))</f>
        <v>Probabilidad</v>
      </c>
      <c r="W38" s="174" t="s">
        <v>14</v>
      </c>
      <c r="X38" s="174" t="s">
        <v>9</v>
      </c>
      <c r="Y38" s="175" t="str">
        <f t="shared" ref="Y38:Y42" si="29">IF(AND(W38="Preventivo",X38="Automático"),"50%",IF(AND(W38="Preventivo",X38="Manual"),"40%",IF(AND(W38="Detectivo",X38="Automático"),"40%",IF(AND(W38="Detectivo",X38="Manual"),"30%",IF(AND(W38="Correctivo",X38="Automático"),"35%",IF(AND(W38="Correctivo",X38="Manual"),"25%",""))))))</f>
        <v>40%</v>
      </c>
      <c r="Z38" s="174" t="s">
        <v>19</v>
      </c>
      <c r="AA38" s="174" t="s">
        <v>22</v>
      </c>
      <c r="AB38" s="174" t="s">
        <v>119</v>
      </c>
      <c r="AC38" s="176">
        <f>IFERROR(IF(AND(V37="Probabilidad",V38="Probabilidad"),(AE37-(+AE37*Y38)),IF(V38="Probabilidad",(N37-(+N37*Y38)),IF(V38="Impacto",AE37,""))),"")</f>
        <v>0.36</v>
      </c>
      <c r="AD38" s="177" t="str">
        <f t="shared" si="1"/>
        <v>Baja</v>
      </c>
      <c r="AE38" s="178">
        <f t="shared" ref="AE38:AE42" si="30">+AC38</f>
        <v>0.36</v>
      </c>
      <c r="AF38" s="177" t="str">
        <f t="shared" si="3"/>
        <v>Catastrófico</v>
      </c>
      <c r="AG38" s="178">
        <f>IFERROR(IF(AND(V37="Impacto",V38="Impacto"),(AG37-(+AG37*Y38)),IF(V38="Impacto",(R37-(+R37*Y38)),IF(V38="Probabilidad",AG37,""))),"")</f>
        <v>1</v>
      </c>
      <c r="AH38" s="179" t="str">
        <f t="shared" ref="AH38:AH39" si="31">IFERROR(IF(OR(AND(AD38="Muy Baja",AF38="Leve"),AND(AD38="Muy Baja",AF38="Menor"),AND(AD38="Baja",AF38="Leve")),"Bajo",IF(OR(AND(AD38="Muy baja",AF38="Moderado"),AND(AD38="Baja",AF38="Menor"),AND(AD38="Baja",AF38="Moderado"),AND(AD38="Media",AF38="Leve"),AND(AD38="Media",AF38="Menor"),AND(AD38="Media",AF38="Moderado"),AND(AD38="Alta",AF38="Leve"),AND(AD38="Alta",AF38="Menor")),"Moderado",IF(OR(AND(AD38="Muy Baja",AF38="Mayor"),AND(AD38="Baja",AF38="Mayor"),AND(AD38="Media",AF38="Mayor"),AND(AD38="Alta",AF38="Moderado"),AND(AD38="Alta",AF38="Mayor"),AND(AD38="Muy Alta",AF38="Leve"),AND(AD38="Muy Alta",AF38="Menor"),AND(AD38="Muy Alta",AF38="Moderado"),AND(AD38="Muy Alta",AF38="Mayor")),"Alto",IF(OR(AND(AD38="Muy Baja",AF38="Catastrófico"),AND(AD38="Baja",AF38="Catastrófico"),AND(AD38="Media",AF38="Catastrófico"),AND(AD38="Alta",AF38="Catastrófico"),AND(AD38="Muy Alta",AF38="Catastrófico")),"Extremo","")))),"")</f>
        <v>Extremo</v>
      </c>
      <c r="AI38" s="180"/>
      <c r="AJ38" s="314"/>
      <c r="AK38" s="341"/>
      <c r="AL38" s="330"/>
      <c r="AM38" s="330"/>
      <c r="AN38" s="320"/>
      <c r="AO38" s="317"/>
      <c r="AP38" s="311"/>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row>
    <row r="39" spans="1:73" s="169" customFormat="1" ht="70.5" customHeight="1" x14ac:dyDescent="0.2">
      <c r="A39" s="365"/>
      <c r="B39" s="351"/>
      <c r="C39" s="351"/>
      <c r="D39" s="344"/>
      <c r="E39" s="344"/>
      <c r="F39" s="344"/>
      <c r="G39" s="360"/>
      <c r="H39" s="360"/>
      <c r="I39" s="385"/>
      <c r="J39" s="357"/>
      <c r="K39" s="344"/>
      <c r="L39" s="382"/>
      <c r="M39" s="383"/>
      <c r="N39" s="352"/>
      <c r="O39" s="384"/>
      <c r="P39" s="352">
        <f>IF(NOT(ISERROR(MATCH(O39,_xlfn.ANCHORARRAY(I50),0))),N52&amp;"Por favor no seleccionar los criterios de impacto",O39)</f>
        <v>0</v>
      </c>
      <c r="Q39" s="383"/>
      <c r="R39" s="352"/>
      <c r="S39" s="354"/>
      <c r="T39" s="171">
        <v>3</v>
      </c>
      <c r="U39" s="186"/>
      <c r="V39" s="173" t="str">
        <f>IF(OR(W39="Preventivo",W39="Detectivo"),"Probabilidad",IF(W39="Correctivo","Impacto",""))</f>
        <v/>
      </c>
      <c r="W39" s="174"/>
      <c r="X39" s="174"/>
      <c r="Y39" s="175" t="str">
        <f t="shared" si="29"/>
        <v/>
      </c>
      <c r="Z39" s="174"/>
      <c r="AA39" s="174"/>
      <c r="AB39" s="174"/>
      <c r="AC39" s="176" t="str">
        <f>IFERROR(IF(AND(V38="Probabilidad",V39="Probabilidad"),(AE38-(+AE38*Y39)),IF(AND(V38="Impacto",V39="Probabilidad"),(AE37-(+AE37*Y39)),IF(V39="Impacto",AE38,""))),"")</f>
        <v/>
      </c>
      <c r="AD39" s="177" t="str">
        <f t="shared" si="1"/>
        <v/>
      </c>
      <c r="AE39" s="178" t="str">
        <f t="shared" si="30"/>
        <v/>
      </c>
      <c r="AF39" s="177" t="str">
        <f t="shared" si="3"/>
        <v/>
      </c>
      <c r="AG39" s="178" t="str">
        <f>IFERROR(IF(AND(V38="Impacto",V39="Impacto"),(AG38-(+AG38*Y39)),IF(AND(V38="Probabilidad",V39="Impacto"),(AG37-(+AG37*Y39)),IF(V39="Probabilidad",AG38,""))),"")</f>
        <v/>
      </c>
      <c r="AH39" s="179" t="str">
        <f t="shared" si="31"/>
        <v/>
      </c>
      <c r="AI39" s="180"/>
      <c r="AJ39" s="314"/>
      <c r="AK39" s="341"/>
      <c r="AL39" s="330"/>
      <c r="AM39" s="330"/>
      <c r="AN39" s="320"/>
      <c r="AO39" s="317"/>
      <c r="AP39" s="311"/>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row>
    <row r="40" spans="1:73" s="169" customFormat="1" ht="70.5" customHeight="1" x14ac:dyDescent="0.2">
      <c r="A40" s="365"/>
      <c r="B40" s="351"/>
      <c r="C40" s="351"/>
      <c r="D40" s="344"/>
      <c r="E40" s="344"/>
      <c r="F40" s="344"/>
      <c r="G40" s="360"/>
      <c r="H40" s="360"/>
      <c r="I40" s="385"/>
      <c r="J40" s="357"/>
      <c r="K40" s="344"/>
      <c r="L40" s="382"/>
      <c r="M40" s="383"/>
      <c r="N40" s="352"/>
      <c r="O40" s="384"/>
      <c r="P40" s="352">
        <f>IF(NOT(ISERROR(MATCH(O40,_xlfn.ANCHORARRAY(I51),0))),N53&amp;"Por favor no seleccionar los criterios de impacto",O40)</f>
        <v>0</v>
      </c>
      <c r="Q40" s="383"/>
      <c r="R40" s="352"/>
      <c r="S40" s="354"/>
      <c r="T40" s="171">
        <v>4</v>
      </c>
      <c r="U40" s="182"/>
      <c r="V40" s="173" t="str">
        <f t="shared" ref="V40:V42" si="32">IF(OR(W40="Preventivo",W40="Detectivo"),"Probabilidad",IF(W40="Correctivo","Impacto",""))</f>
        <v/>
      </c>
      <c r="W40" s="174"/>
      <c r="X40" s="174"/>
      <c r="Y40" s="175" t="str">
        <f t="shared" si="29"/>
        <v/>
      </c>
      <c r="Z40" s="174"/>
      <c r="AA40" s="174"/>
      <c r="AB40" s="174"/>
      <c r="AC40" s="176" t="str">
        <f t="shared" ref="AC40:AC42" si="33">IFERROR(IF(AND(V39="Probabilidad",V40="Probabilidad"),(AE39-(+AE39*Y40)),IF(AND(V39="Impacto",V40="Probabilidad"),(AE38-(+AE38*Y40)),IF(V40="Impacto",AE39,""))),"")</f>
        <v/>
      </c>
      <c r="AD40" s="177" t="str">
        <f t="shared" si="1"/>
        <v/>
      </c>
      <c r="AE40" s="178" t="str">
        <f t="shared" si="30"/>
        <v/>
      </c>
      <c r="AF40" s="177" t="str">
        <f t="shared" si="3"/>
        <v/>
      </c>
      <c r="AG40" s="178" t="str">
        <f t="shared" ref="AG40:AG42" si="34">IFERROR(IF(AND(V39="Impacto",V40="Impacto"),(AG39-(+AG39*Y40)),IF(AND(V39="Probabilidad",V40="Impacto"),(AG38-(+AG38*Y40)),IF(V40="Probabilidad",AG39,""))),"")</f>
        <v/>
      </c>
      <c r="AH40" s="179" t="str">
        <f>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180"/>
      <c r="AJ40" s="314"/>
      <c r="AK40" s="341"/>
      <c r="AL40" s="330"/>
      <c r="AM40" s="330"/>
      <c r="AN40" s="320"/>
      <c r="AO40" s="317"/>
      <c r="AP40" s="311"/>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row>
    <row r="41" spans="1:73" s="169" customFormat="1" ht="70.5" customHeight="1" x14ac:dyDescent="0.2">
      <c r="A41" s="365"/>
      <c r="B41" s="351"/>
      <c r="C41" s="351"/>
      <c r="D41" s="344"/>
      <c r="E41" s="344"/>
      <c r="F41" s="344"/>
      <c r="G41" s="360"/>
      <c r="H41" s="360"/>
      <c r="I41" s="385"/>
      <c r="J41" s="357"/>
      <c r="K41" s="344"/>
      <c r="L41" s="382"/>
      <c r="M41" s="383"/>
      <c r="N41" s="352"/>
      <c r="O41" s="384"/>
      <c r="P41" s="352">
        <f>IF(NOT(ISERROR(MATCH(O41,_xlfn.ANCHORARRAY(I52),0))),N54&amp;"Por favor no seleccionar los criterios de impacto",O41)</f>
        <v>0</v>
      </c>
      <c r="Q41" s="383"/>
      <c r="R41" s="352"/>
      <c r="S41" s="354"/>
      <c r="T41" s="171">
        <v>5</v>
      </c>
      <c r="U41" s="182"/>
      <c r="V41" s="173" t="str">
        <f t="shared" si="32"/>
        <v/>
      </c>
      <c r="W41" s="174"/>
      <c r="X41" s="174"/>
      <c r="Y41" s="175" t="str">
        <f t="shared" si="29"/>
        <v/>
      </c>
      <c r="Z41" s="174"/>
      <c r="AA41" s="174"/>
      <c r="AB41" s="174"/>
      <c r="AC41" s="176" t="str">
        <f t="shared" si="33"/>
        <v/>
      </c>
      <c r="AD41" s="177" t="str">
        <f t="shared" si="1"/>
        <v/>
      </c>
      <c r="AE41" s="178" t="str">
        <f t="shared" si="30"/>
        <v/>
      </c>
      <c r="AF41" s="177" t="str">
        <f t="shared" si="3"/>
        <v/>
      </c>
      <c r="AG41" s="178" t="str">
        <f t="shared" si="34"/>
        <v/>
      </c>
      <c r="AH41" s="179" t="str">
        <f t="shared" ref="AH41:AH42" si="35">IFERROR(IF(OR(AND(AD41="Muy Baja",AF41="Leve"),AND(AD41="Muy Baja",AF41="Menor"),AND(AD41="Baja",AF41="Leve")),"Bajo",IF(OR(AND(AD41="Muy baja",AF41="Moderado"),AND(AD41="Baja",AF41="Menor"),AND(AD41="Baja",AF41="Moderado"),AND(AD41="Media",AF41="Leve"),AND(AD41="Media",AF41="Menor"),AND(AD41="Media",AF41="Moderado"),AND(AD41="Alta",AF41="Leve"),AND(AD41="Alta",AF41="Menor")),"Moderado",IF(OR(AND(AD41="Muy Baja",AF41="Mayor"),AND(AD41="Baja",AF41="Mayor"),AND(AD41="Media",AF41="Mayor"),AND(AD41="Alta",AF41="Moderado"),AND(AD41="Alta",AF41="Mayor"),AND(AD41="Muy Alta",AF41="Leve"),AND(AD41="Muy Alta",AF41="Menor"),AND(AD41="Muy Alta",AF41="Moderado"),AND(AD41="Muy Alta",AF41="Mayor")),"Alto",IF(OR(AND(AD41="Muy Baja",AF41="Catastrófico"),AND(AD41="Baja",AF41="Catastrófico"),AND(AD41="Media",AF41="Catastrófico"),AND(AD41="Alta",AF41="Catastrófico"),AND(AD41="Muy Alta",AF41="Catastrófico")),"Extremo","")))),"")</f>
        <v/>
      </c>
      <c r="AI41" s="180"/>
      <c r="AJ41" s="314"/>
      <c r="AK41" s="341"/>
      <c r="AL41" s="330"/>
      <c r="AM41" s="330"/>
      <c r="AN41" s="320"/>
      <c r="AO41" s="317"/>
      <c r="AP41" s="311"/>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row>
    <row r="42" spans="1:73" s="169" customFormat="1" ht="70.5" customHeight="1" x14ac:dyDescent="0.2">
      <c r="A42" s="365"/>
      <c r="B42" s="351"/>
      <c r="C42" s="351"/>
      <c r="D42" s="344"/>
      <c r="E42" s="344"/>
      <c r="F42" s="344"/>
      <c r="G42" s="361"/>
      <c r="H42" s="361"/>
      <c r="I42" s="385"/>
      <c r="J42" s="358"/>
      <c r="K42" s="344"/>
      <c r="L42" s="382"/>
      <c r="M42" s="383"/>
      <c r="N42" s="352"/>
      <c r="O42" s="384"/>
      <c r="P42" s="352">
        <f>IF(NOT(ISERROR(MATCH(O42,_xlfn.ANCHORARRAY(I53),0))),N55&amp;"Por favor no seleccionar los criterios de impacto",O42)</f>
        <v>0</v>
      </c>
      <c r="Q42" s="383"/>
      <c r="R42" s="352"/>
      <c r="S42" s="354"/>
      <c r="T42" s="171">
        <v>6</v>
      </c>
      <c r="U42" s="182"/>
      <c r="V42" s="173" t="str">
        <f t="shared" si="32"/>
        <v/>
      </c>
      <c r="W42" s="174"/>
      <c r="X42" s="174"/>
      <c r="Y42" s="175" t="str">
        <f t="shared" si="29"/>
        <v/>
      </c>
      <c r="Z42" s="174"/>
      <c r="AA42" s="174"/>
      <c r="AB42" s="174"/>
      <c r="AC42" s="176" t="str">
        <f t="shared" si="33"/>
        <v/>
      </c>
      <c r="AD42" s="177" t="str">
        <f t="shared" si="1"/>
        <v/>
      </c>
      <c r="AE42" s="178" t="str">
        <f t="shared" si="30"/>
        <v/>
      </c>
      <c r="AF42" s="177" t="str">
        <f t="shared" si="3"/>
        <v/>
      </c>
      <c r="AG42" s="178" t="str">
        <f t="shared" si="34"/>
        <v/>
      </c>
      <c r="AH42" s="179" t="str">
        <f t="shared" si="35"/>
        <v/>
      </c>
      <c r="AI42" s="180"/>
      <c r="AJ42" s="315"/>
      <c r="AK42" s="341"/>
      <c r="AL42" s="330"/>
      <c r="AM42" s="330"/>
      <c r="AN42" s="321"/>
      <c r="AO42" s="318"/>
      <c r="AP42" s="311"/>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row>
    <row r="43" spans="1:73" s="169" customFormat="1" ht="70.5" hidden="1" customHeight="1" x14ac:dyDescent="0.2">
      <c r="A43" s="365">
        <v>6</v>
      </c>
      <c r="B43" s="351"/>
      <c r="C43" s="351"/>
      <c r="D43" s="381"/>
      <c r="E43" s="381"/>
      <c r="F43" s="381"/>
      <c r="G43" s="348"/>
      <c r="H43" s="348"/>
      <c r="I43" s="353"/>
      <c r="J43" s="338"/>
      <c r="K43" s="344"/>
      <c r="L43" s="345"/>
      <c r="M43" s="343" t="str">
        <f>IF(L43&lt;=0,"",IF(L43&lt;=2,"Muy Baja",IF(L43&lt;=24,"Baja",IF(L43&lt;=500,"Media",IF(L43&lt;=5000,"Alta","Muy Alta")))))</f>
        <v/>
      </c>
      <c r="N43" s="342" t="str">
        <f>IF(M43="","",IF(M43="Muy Baja",0.2,IF(M43="Baja",0.4,IF(M43="Media",0.6,IF(M43="Alta",0.8,IF(M43="Muy Alta",1,))))))</f>
        <v/>
      </c>
      <c r="O43" s="347"/>
      <c r="P43" s="342">
        <f>IF(NOT(ISERROR(MATCH(O43,'Tabla Impacto'!$B$221:$B$223,0))),'Tabla Impacto'!$F$223&amp;"Por favor no seleccionar los criterios de impacto(Afectación Económica o presupuestal y Pérdida Reputacional)",O43)</f>
        <v>0</v>
      </c>
      <c r="Q43" s="343" t="str">
        <f>IF(OR(P43='Tabla Impacto'!$C$11,P43='Tabla Impacto'!$D$11),"Leve",IF(OR(P43='Tabla Impacto'!$C$12,P43='Tabla Impacto'!$D$12),"Menor",IF(OR(P43='Tabla Impacto'!$C$13,P43='Tabla Impacto'!$D$13),"Moderado",IF(OR(P43='Tabla Impacto'!$C$14,P43='Tabla Impacto'!$D$14),"Mayor",IF(OR(P43='Tabla Impacto'!$C$15,P43='Tabla Impacto'!$D$15),"Catastrófico","")))))</f>
        <v/>
      </c>
      <c r="R43" s="342" t="str">
        <f>IF(Q43="","",IF(Q43="Leve",0.2,IF(Q43="Menor",0.4,IF(Q43="Moderado",0.6,IF(Q43="Mayor",0.8,IF(Q43="Catastrófico",1,))))))</f>
        <v/>
      </c>
      <c r="S43" s="346" t="str">
        <f>IF(OR(AND(M43="Muy Baja",Q43="Leve"),AND(M43="Muy Baja",Q43="Menor"),AND(M43="Baja",Q43="Leve")),"Bajo",IF(OR(AND(M43="Muy baja",Q43="Moderado"),AND(M43="Baja",Q43="Menor"),AND(M43="Baja",Q43="Moderado"),AND(M43="Media",Q43="Leve"),AND(M43="Media",Q43="Menor"),AND(M43="Media",Q43="Moderado"),AND(M43="Alta",Q43="Leve"),AND(M43="Alta",Q43="Menor")),"Moderado",IF(OR(AND(M43="Muy Baja",Q43="Mayor"),AND(M43="Baja",Q43="Mayor"),AND(M43="Media",Q43="Mayor"),AND(M43="Alta",Q43="Moderado"),AND(M43="Alta",Q43="Mayor"),AND(M43="Muy Alta",Q43="Leve"),AND(M43="Muy Alta",Q43="Menor"),AND(M43="Muy Alta",Q43="Moderado"),AND(M43="Muy Alta",Q43="Mayor")),"Alto",IF(OR(AND(M43="Muy Baja",Q43="Catastrófico"),AND(M43="Baja",Q43="Catastrófico"),AND(M43="Media",Q43="Catastrófico"),AND(M43="Alta",Q43="Catastrófico"),AND(M43="Muy Alta",Q43="Catastrófico")),"Extremo",""))))</f>
        <v/>
      </c>
      <c r="T43" s="171">
        <v>1</v>
      </c>
      <c r="U43" s="182"/>
      <c r="V43" s="173" t="str">
        <f>IF(OR(W43="Preventivo",W43="Detectivo"),"Probabilidad",IF(W43="Correctivo","Impacto",""))</f>
        <v/>
      </c>
      <c r="W43" s="174"/>
      <c r="X43" s="174"/>
      <c r="Y43" s="175" t="str">
        <f>IF(AND(W43="Preventivo",X43="Automático"),"50%",IF(AND(W43="Preventivo",X43="Manual"),"40%",IF(AND(W43="Detectivo",X43="Automático"),"40%",IF(AND(W43="Detectivo",X43="Manual"),"30%",IF(AND(W43="Correctivo",X43="Automático"),"35%",IF(AND(W43="Correctivo",X43="Manual"),"25%",""))))))</f>
        <v/>
      </c>
      <c r="Z43" s="174"/>
      <c r="AA43" s="174"/>
      <c r="AB43" s="174"/>
      <c r="AC43" s="176" t="str">
        <f>IFERROR(IF(V43="Probabilidad",(N43-(+N43*Y43)),IF(V43="Impacto",N43,"")),"")</f>
        <v/>
      </c>
      <c r="AD43" s="177" t="str">
        <f>IFERROR(IF(AC43="","",IF(AC43&lt;=0.2,"Muy Baja",IF(AC43&lt;=0.4,"Baja",IF(AC43&lt;=0.6,"Media",IF(AC43&lt;=0.8,"Alta","Muy Alta"))))),"")</f>
        <v/>
      </c>
      <c r="AE43" s="178" t="str">
        <f>+AC43</f>
        <v/>
      </c>
      <c r="AF43" s="177" t="str">
        <f>IFERROR(IF(AG43="","",IF(AG43&lt;=0.2,"Leve",IF(AG43&lt;=0.4,"Menor",IF(AG43&lt;=0.6,"Moderado",IF(AG43&lt;=0.8,"Mayor","Catastrófico"))))),"")</f>
        <v/>
      </c>
      <c r="AG43" s="178" t="str">
        <f>IFERROR(IF(V43="Impacto",(R43-(+R43*Y43)),IF(V43="Probabilidad",R43,"")),"")</f>
        <v/>
      </c>
      <c r="AH43" s="179" t="str">
        <f>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
      </c>
      <c r="AI43" s="180"/>
      <c r="AJ43" s="172"/>
      <c r="AK43" s="329"/>
      <c r="AL43" s="335"/>
      <c r="AM43" s="332"/>
      <c r="AN43" s="319"/>
      <c r="AO43" s="31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row>
    <row r="44" spans="1:73" s="169" customFormat="1" ht="70.5" hidden="1" customHeight="1" x14ac:dyDescent="0.2">
      <c r="A44" s="365"/>
      <c r="B44" s="351"/>
      <c r="C44" s="351"/>
      <c r="D44" s="381"/>
      <c r="E44" s="381"/>
      <c r="F44" s="381"/>
      <c r="G44" s="349"/>
      <c r="H44" s="349"/>
      <c r="I44" s="353"/>
      <c r="J44" s="339"/>
      <c r="K44" s="344"/>
      <c r="L44" s="345"/>
      <c r="M44" s="343"/>
      <c r="N44" s="342"/>
      <c r="O44" s="347"/>
      <c r="P44" s="342">
        <f>IF(NOT(ISERROR(MATCH(O44,_xlfn.ANCHORARRAY(I55),0))),N57&amp;"Por favor no seleccionar los criterios de impacto",O44)</f>
        <v>0</v>
      </c>
      <c r="Q44" s="343"/>
      <c r="R44" s="342"/>
      <c r="S44" s="346"/>
      <c r="T44" s="171">
        <v>2</v>
      </c>
      <c r="U44" s="182"/>
      <c r="V44" s="173" t="str">
        <f>IF(OR(W44="Preventivo",W44="Detectivo"),"Probabilidad",IF(W44="Correctivo","Impacto",""))</f>
        <v/>
      </c>
      <c r="W44" s="174"/>
      <c r="X44" s="174"/>
      <c r="Y44" s="175" t="str">
        <f t="shared" ref="Y44:Y48" si="36">IF(AND(W44="Preventivo",X44="Automático"),"50%",IF(AND(W44="Preventivo",X44="Manual"),"40%",IF(AND(W44="Detectivo",X44="Automático"),"40%",IF(AND(W44="Detectivo",X44="Manual"),"30%",IF(AND(W44="Correctivo",X44="Automático"),"35%",IF(AND(W44="Correctivo",X44="Manual"),"25%",""))))))</f>
        <v/>
      </c>
      <c r="Z44" s="174"/>
      <c r="AA44" s="174"/>
      <c r="AB44" s="174"/>
      <c r="AC44" s="176" t="str">
        <f>IFERROR(IF(AND(V43="Probabilidad",V44="Probabilidad"),(AE43-(+AE43*Y44)),IF(V44="Probabilidad",(N43-(+N43*Y44)),IF(V44="Impacto",AE43,""))),"")</f>
        <v/>
      </c>
      <c r="AD44" s="177" t="str">
        <f t="shared" si="1"/>
        <v/>
      </c>
      <c r="AE44" s="178" t="str">
        <f t="shared" ref="AE44:AE48" si="37">+AC44</f>
        <v/>
      </c>
      <c r="AF44" s="177" t="str">
        <f t="shared" si="3"/>
        <v/>
      </c>
      <c r="AG44" s="178" t="str">
        <f>IFERROR(IF(AND(V43="Impacto",V44="Impacto"),(AG43-(+AG43*Y44)),IF(V44="Impacto",(R43-(+R43*Y44)),IF(V44="Probabilidad",AG43,""))),"")</f>
        <v/>
      </c>
      <c r="AH44" s="179" t="str">
        <f t="shared" ref="AH44:AH45" si="38">IFERROR(IF(OR(AND(AD44="Muy Baja",AF44="Leve"),AND(AD44="Muy Baja",AF44="Menor"),AND(AD44="Baja",AF44="Leve")),"Bajo",IF(OR(AND(AD44="Muy baja",AF44="Moderado"),AND(AD44="Baja",AF44="Menor"),AND(AD44="Baja",AF44="Moderado"),AND(AD44="Media",AF44="Leve"),AND(AD44="Media",AF44="Menor"),AND(AD44="Media",AF44="Moderado"),AND(AD44="Alta",AF44="Leve"),AND(AD44="Alta",AF44="Menor")),"Moderado",IF(OR(AND(AD44="Muy Baja",AF44="Mayor"),AND(AD44="Baja",AF44="Mayor"),AND(AD44="Media",AF44="Mayor"),AND(AD44="Alta",AF44="Moderado"),AND(AD44="Alta",AF44="Mayor"),AND(AD44="Muy Alta",AF44="Leve"),AND(AD44="Muy Alta",AF44="Menor"),AND(AD44="Muy Alta",AF44="Moderado"),AND(AD44="Muy Alta",AF44="Mayor")),"Alto",IF(OR(AND(AD44="Muy Baja",AF44="Catastrófico"),AND(AD44="Baja",AF44="Catastrófico"),AND(AD44="Media",AF44="Catastrófico"),AND(AD44="Alta",AF44="Catastrófico"),AND(AD44="Muy Alta",AF44="Catastrófico")),"Extremo","")))),"")</f>
        <v/>
      </c>
      <c r="AI44" s="180"/>
      <c r="AJ44" s="172"/>
      <c r="AK44" s="326"/>
      <c r="AL44" s="336"/>
      <c r="AM44" s="333"/>
      <c r="AN44" s="320"/>
      <c r="AO44" s="320"/>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row>
    <row r="45" spans="1:73" s="169" customFormat="1" ht="70.5" hidden="1" customHeight="1" x14ac:dyDescent="0.2">
      <c r="A45" s="365"/>
      <c r="B45" s="351"/>
      <c r="C45" s="351"/>
      <c r="D45" s="381"/>
      <c r="E45" s="381"/>
      <c r="F45" s="381"/>
      <c r="G45" s="349"/>
      <c r="H45" s="349"/>
      <c r="I45" s="353"/>
      <c r="J45" s="339"/>
      <c r="K45" s="344"/>
      <c r="L45" s="345"/>
      <c r="M45" s="343"/>
      <c r="N45" s="342"/>
      <c r="O45" s="347"/>
      <c r="P45" s="342">
        <f>IF(NOT(ISERROR(MATCH(O45,_xlfn.ANCHORARRAY(I56),0))),N58&amp;"Por favor no seleccionar los criterios de impacto",O45)</f>
        <v>0</v>
      </c>
      <c r="Q45" s="343"/>
      <c r="R45" s="342"/>
      <c r="S45" s="346"/>
      <c r="T45" s="171">
        <v>3</v>
      </c>
      <c r="U45" s="186"/>
      <c r="V45" s="173" t="str">
        <f>IF(OR(W45="Preventivo",W45="Detectivo"),"Probabilidad",IF(W45="Correctivo","Impacto",""))</f>
        <v/>
      </c>
      <c r="W45" s="174"/>
      <c r="X45" s="174"/>
      <c r="Y45" s="175" t="str">
        <f t="shared" si="36"/>
        <v/>
      </c>
      <c r="Z45" s="174"/>
      <c r="AA45" s="174"/>
      <c r="AB45" s="174"/>
      <c r="AC45" s="176" t="str">
        <f>IFERROR(IF(AND(V44="Probabilidad",V45="Probabilidad"),(AE44-(+AE44*Y45)),IF(AND(V44="Impacto",V45="Probabilidad"),(AE43-(+AE43*Y45)),IF(V45="Impacto",AE44,""))),"")</f>
        <v/>
      </c>
      <c r="AD45" s="177" t="str">
        <f t="shared" si="1"/>
        <v/>
      </c>
      <c r="AE45" s="178" t="str">
        <f t="shared" si="37"/>
        <v/>
      </c>
      <c r="AF45" s="177" t="str">
        <f t="shared" si="3"/>
        <v/>
      </c>
      <c r="AG45" s="178" t="str">
        <f>IFERROR(IF(AND(V44="Impacto",V45="Impacto"),(AG44-(+AG44*Y45)),IF(AND(V44="Probabilidad",V45="Impacto"),(AG43-(+AG43*Y45)),IF(V45="Probabilidad",AG44,""))),"")</f>
        <v/>
      </c>
      <c r="AH45" s="179" t="str">
        <f t="shared" si="38"/>
        <v/>
      </c>
      <c r="AI45" s="180"/>
      <c r="AJ45" s="172"/>
      <c r="AK45" s="326"/>
      <c r="AL45" s="336"/>
      <c r="AM45" s="333"/>
      <c r="AN45" s="320"/>
      <c r="AO45" s="320"/>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row>
    <row r="46" spans="1:73" s="169" customFormat="1" ht="70.5" hidden="1" customHeight="1" x14ac:dyDescent="0.2">
      <c r="A46" s="365"/>
      <c r="B46" s="351"/>
      <c r="C46" s="351"/>
      <c r="D46" s="381"/>
      <c r="E46" s="381"/>
      <c r="F46" s="381"/>
      <c r="G46" s="349"/>
      <c r="H46" s="349"/>
      <c r="I46" s="353"/>
      <c r="J46" s="339"/>
      <c r="K46" s="344"/>
      <c r="L46" s="345"/>
      <c r="M46" s="343"/>
      <c r="N46" s="342"/>
      <c r="O46" s="347"/>
      <c r="P46" s="342">
        <f>IF(NOT(ISERROR(MATCH(O46,_xlfn.ANCHORARRAY(I57),0))),N59&amp;"Por favor no seleccionar los criterios de impacto",O46)</f>
        <v>0</v>
      </c>
      <c r="Q46" s="343"/>
      <c r="R46" s="342"/>
      <c r="S46" s="346"/>
      <c r="T46" s="171">
        <v>4</v>
      </c>
      <c r="U46" s="182"/>
      <c r="V46" s="173" t="str">
        <f t="shared" ref="V46:V48" si="39">IF(OR(W46="Preventivo",W46="Detectivo"),"Probabilidad",IF(W46="Correctivo","Impacto",""))</f>
        <v/>
      </c>
      <c r="W46" s="174"/>
      <c r="X46" s="174"/>
      <c r="Y46" s="175" t="str">
        <f t="shared" si="36"/>
        <v/>
      </c>
      <c r="Z46" s="174"/>
      <c r="AA46" s="174"/>
      <c r="AB46" s="174"/>
      <c r="AC46" s="176" t="str">
        <f t="shared" ref="AC46:AC48" si="40">IFERROR(IF(AND(V45="Probabilidad",V46="Probabilidad"),(AE45-(+AE45*Y46)),IF(AND(V45="Impacto",V46="Probabilidad"),(AE44-(+AE44*Y46)),IF(V46="Impacto",AE45,""))),"")</f>
        <v/>
      </c>
      <c r="AD46" s="177" t="str">
        <f t="shared" si="1"/>
        <v/>
      </c>
      <c r="AE46" s="178" t="str">
        <f t="shared" si="37"/>
        <v/>
      </c>
      <c r="AF46" s="177" t="str">
        <f t="shared" si="3"/>
        <v/>
      </c>
      <c r="AG46" s="178" t="str">
        <f t="shared" ref="AG46:AG48" si="41">IFERROR(IF(AND(V45="Impacto",V46="Impacto"),(AG45-(+AG45*Y46)),IF(AND(V45="Probabilidad",V46="Impacto"),(AG44-(+AG44*Y46)),IF(V46="Probabilidad",AG45,""))),"")</f>
        <v/>
      </c>
      <c r="AH46" s="179" t="str">
        <f>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
      </c>
      <c r="AI46" s="180"/>
      <c r="AJ46" s="183"/>
      <c r="AK46" s="326"/>
      <c r="AL46" s="336"/>
      <c r="AM46" s="333"/>
      <c r="AN46" s="320"/>
      <c r="AO46" s="320"/>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row>
    <row r="47" spans="1:73" s="169" customFormat="1" ht="70.5" hidden="1" customHeight="1" x14ac:dyDescent="0.2">
      <c r="A47" s="365"/>
      <c r="B47" s="351"/>
      <c r="C47" s="351"/>
      <c r="D47" s="381"/>
      <c r="E47" s="381"/>
      <c r="F47" s="381"/>
      <c r="G47" s="349"/>
      <c r="H47" s="349"/>
      <c r="I47" s="353"/>
      <c r="J47" s="339"/>
      <c r="K47" s="344"/>
      <c r="L47" s="345"/>
      <c r="M47" s="343"/>
      <c r="N47" s="342"/>
      <c r="O47" s="347"/>
      <c r="P47" s="342">
        <f>IF(NOT(ISERROR(MATCH(O47,_xlfn.ANCHORARRAY(I58),0))),N60&amp;"Por favor no seleccionar los criterios de impacto",O47)</f>
        <v>0</v>
      </c>
      <c r="Q47" s="343"/>
      <c r="R47" s="342"/>
      <c r="S47" s="346"/>
      <c r="T47" s="171">
        <v>5</v>
      </c>
      <c r="U47" s="182"/>
      <c r="V47" s="173" t="str">
        <f t="shared" si="39"/>
        <v/>
      </c>
      <c r="W47" s="174"/>
      <c r="X47" s="174"/>
      <c r="Y47" s="175" t="str">
        <f t="shared" si="36"/>
        <v/>
      </c>
      <c r="Z47" s="174"/>
      <c r="AA47" s="174"/>
      <c r="AB47" s="174"/>
      <c r="AC47" s="176" t="str">
        <f t="shared" si="40"/>
        <v/>
      </c>
      <c r="AD47" s="177" t="str">
        <f t="shared" si="1"/>
        <v/>
      </c>
      <c r="AE47" s="178" t="str">
        <f t="shared" si="37"/>
        <v/>
      </c>
      <c r="AF47" s="177" t="str">
        <f t="shared" si="3"/>
        <v/>
      </c>
      <c r="AG47" s="178" t="str">
        <f t="shared" si="41"/>
        <v/>
      </c>
      <c r="AH47" s="179" t="str">
        <f t="shared" ref="AH47" si="42">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
      </c>
      <c r="AI47" s="180"/>
      <c r="AJ47" s="183"/>
      <c r="AK47" s="326"/>
      <c r="AL47" s="336"/>
      <c r="AM47" s="333"/>
      <c r="AN47" s="320"/>
      <c r="AO47" s="320"/>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row>
    <row r="48" spans="1:73" s="169" customFormat="1" ht="70.5" hidden="1" customHeight="1" x14ac:dyDescent="0.2">
      <c r="A48" s="365"/>
      <c r="B48" s="351"/>
      <c r="C48" s="351"/>
      <c r="D48" s="381"/>
      <c r="E48" s="381"/>
      <c r="F48" s="381"/>
      <c r="G48" s="350"/>
      <c r="H48" s="350"/>
      <c r="I48" s="353"/>
      <c r="J48" s="340"/>
      <c r="K48" s="344"/>
      <c r="L48" s="345"/>
      <c r="M48" s="343"/>
      <c r="N48" s="342"/>
      <c r="O48" s="347"/>
      <c r="P48" s="342">
        <f>IF(NOT(ISERROR(MATCH(O48,_xlfn.ANCHORARRAY(I59),0))),N61&amp;"Por favor no seleccionar los criterios de impacto",O48)</f>
        <v>0</v>
      </c>
      <c r="Q48" s="343"/>
      <c r="R48" s="342"/>
      <c r="S48" s="346"/>
      <c r="T48" s="171">
        <v>6</v>
      </c>
      <c r="U48" s="182"/>
      <c r="V48" s="173" t="str">
        <f t="shared" si="39"/>
        <v/>
      </c>
      <c r="W48" s="174"/>
      <c r="X48" s="174"/>
      <c r="Y48" s="175" t="str">
        <f t="shared" si="36"/>
        <v/>
      </c>
      <c r="Z48" s="174"/>
      <c r="AA48" s="174"/>
      <c r="AB48" s="174"/>
      <c r="AC48" s="176" t="str">
        <f t="shared" si="40"/>
        <v/>
      </c>
      <c r="AD48" s="177" t="str">
        <f t="shared" si="1"/>
        <v/>
      </c>
      <c r="AE48" s="178" t="str">
        <f t="shared" si="37"/>
        <v/>
      </c>
      <c r="AF48" s="177" t="str">
        <f>IFERROR(IF(AG48="","",IF(AG48&lt;=0.2,"Leve",IF(AG48&lt;=0.4,"Menor",IF(AG48&lt;=0.6,"Moderado",IF(AG48&lt;=0.8,"Mayor","Catastrófico"))))),"")</f>
        <v/>
      </c>
      <c r="AG48" s="178" t="str">
        <f t="shared" si="41"/>
        <v/>
      </c>
      <c r="AH48" s="179"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
      </c>
      <c r="AI48" s="180"/>
      <c r="AJ48" s="183"/>
      <c r="AK48" s="327"/>
      <c r="AL48" s="337"/>
      <c r="AM48" s="334"/>
      <c r="AN48" s="321"/>
      <c r="AO48" s="321"/>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row>
    <row r="49" spans="1:73" s="169" customFormat="1" ht="70.5" hidden="1" customHeight="1" x14ac:dyDescent="0.2">
      <c r="A49" s="365">
        <v>7</v>
      </c>
      <c r="B49" s="351"/>
      <c r="C49" s="351"/>
      <c r="D49" s="381"/>
      <c r="E49" s="381"/>
      <c r="F49" s="381"/>
      <c r="G49" s="348"/>
      <c r="H49" s="348"/>
      <c r="I49" s="353"/>
      <c r="J49" s="338"/>
      <c r="K49" s="344"/>
      <c r="L49" s="345"/>
      <c r="M49" s="343" t="str">
        <f>IF(L49&lt;=0,"",IF(L49&lt;=2,"Muy Baja",IF(L49&lt;=24,"Baja",IF(L49&lt;=500,"Media",IF(L49&lt;=5000,"Alta","Muy Alta")))))</f>
        <v/>
      </c>
      <c r="N49" s="342" t="str">
        <f>IF(M49="","",IF(M49="Muy Baja",0.2,IF(M49="Baja",0.4,IF(M49="Media",0.6,IF(M49="Alta",0.8,IF(M49="Muy Alta",1,))))))</f>
        <v/>
      </c>
      <c r="O49" s="347"/>
      <c r="P49" s="342">
        <f>IF(NOT(ISERROR(MATCH(O49,'Tabla Impacto'!$B$221:$B$223,0))),'Tabla Impacto'!$F$223&amp;"Por favor no seleccionar los criterios de impacto(Afectación Económica o presupuestal y Pérdida Reputacional)",O49)</f>
        <v>0</v>
      </c>
      <c r="Q49" s="343" t="str">
        <f>IF(OR(P49='Tabla Impacto'!$C$11,P49='Tabla Impacto'!$D$11),"Leve",IF(OR(P49='Tabla Impacto'!$C$12,P49='Tabla Impacto'!$D$12),"Menor",IF(OR(P49='Tabla Impacto'!$C$13,P49='Tabla Impacto'!$D$13),"Moderado",IF(OR(P49='Tabla Impacto'!$C$14,P49='Tabla Impacto'!$D$14),"Mayor",IF(OR(P49='Tabla Impacto'!$C$15,P49='Tabla Impacto'!$D$15),"Catastrófico","")))))</f>
        <v/>
      </c>
      <c r="R49" s="342" t="str">
        <f>IF(Q49="","",IF(Q49="Leve",0.2,IF(Q49="Menor",0.4,IF(Q49="Moderado",0.6,IF(Q49="Mayor",0.8,IF(Q49="Catastrófico",1,))))))</f>
        <v/>
      </c>
      <c r="S49" s="346" t="str">
        <f>IF(OR(AND(M49="Muy Baja",Q49="Leve"),AND(M49="Muy Baja",Q49="Menor"),AND(M49="Baja",Q49="Leve")),"Bajo",IF(OR(AND(M49="Muy baja",Q49="Moderado"),AND(M49="Baja",Q49="Menor"),AND(M49="Baja",Q49="Moderado"),AND(M49="Media",Q49="Leve"),AND(M49="Media",Q49="Menor"),AND(M49="Media",Q49="Moderado"),AND(M49="Alta",Q49="Leve"),AND(M49="Alta",Q49="Menor")),"Moderado",IF(OR(AND(M49="Muy Baja",Q49="Mayor"),AND(M49="Baja",Q49="Mayor"),AND(M49="Media",Q49="Mayor"),AND(M49="Alta",Q49="Moderado"),AND(M49="Alta",Q49="Mayor"),AND(M49="Muy Alta",Q49="Leve"),AND(M49="Muy Alta",Q49="Menor"),AND(M49="Muy Alta",Q49="Moderado"),AND(M49="Muy Alta",Q49="Mayor")),"Alto",IF(OR(AND(M49="Muy Baja",Q49="Catastrófico"),AND(M49="Baja",Q49="Catastrófico"),AND(M49="Media",Q49="Catastrófico"),AND(M49="Alta",Q49="Catastrófico"),AND(M49="Muy Alta",Q49="Catastrófico")),"Extremo",""))))</f>
        <v/>
      </c>
      <c r="T49" s="171">
        <v>1</v>
      </c>
      <c r="U49" s="182"/>
      <c r="V49" s="173" t="str">
        <f>IF(OR(W49="Preventivo",W49="Detectivo"),"Probabilidad",IF(W49="Correctivo","Impacto",""))</f>
        <v/>
      </c>
      <c r="W49" s="174"/>
      <c r="X49" s="174"/>
      <c r="Y49" s="175" t="str">
        <f>IF(AND(W49="Preventivo",X49="Automático"),"50%",IF(AND(W49="Preventivo",X49="Manual"),"40%",IF(AND(W49="Detectivo",X49="Automático"),"40%",IF(AND(W49="Detectivo",X49="Manual"),"30%",IF(AND(W49="Correctivo",X49="Automático"),"35%",IF(AND(W49="Correctivo",X49="Manual"),"25%",""))))))</f>
        <v/>
      </c>
      <c r="Z49" s="174"/>
      <c r="AA49" s="174"/>
      <c r="AB49" s="174"/>
      <c r="AC49" s="176" t="str">
        <f>IFERROR(IF(V49="Probabilidad",(N49-(+N49*Y49)),IF(V49="Impacto",N49,"")),"")</f>
        <v/>
      </c>
      <c r="AD49" s="177" t="str">
        <f>IFERROR(IF(AC49="","",IF(AC49&lt;=0.2,"Muy Baja",IF(AC49&lt;=0.4,"Baja",IF(AC49&lt;=0.6,"Media",IF(AC49&lt;=0.8,"Alta","Muy Alta"))))),"")</f>
        <v/>
      </c>
      <c r="AE49" s="178" t="str">
        <f>+AC49</f>
        <v/>
      </c>
      <c r="AF49" s="177" t="str">
        <f>IFERROR(IF(AG49="","",IF(AG49&lt;=0.2,"Leve",IF(AG49&lt;=0.4,"Menor",IF(AG49&lt;=0.6,"Moderado",IF(AG49&lt;=0.8,"Mayor","Catastrófico"))))),"")</f>
        <v/>
      </c>
      <c r="AG49" s="178" t="str">
        <f>IFERROR(IF(V49="Impacto",(R49-(+R49*Y49)),IF(V49="Probabilidad",R49,"")),"")</f>
        <v/>
      </c>
      <c r="AH49" s="179" t="str">
        <f>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
      </c>
      <c r="AI49" s="180"/>
      <c r="AJ49" s="172"/>
      <c r="AK49" s="329"/>
      <c r="AL49" s="335"/>
      <c r="AM49" s="332"/>
      <c r="AN49" s="319"/>
      <c r="AO49" s="31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row>
    <row r="50" spans="1:73" s="169" customFormat="1" ht="70.5" hidden="1" customHeight="1" x14ac:dyDescent="0.2">
      <c r="A50" s="365"/>
      <c r="B50" s="351"/>
      <c r="C50" s="351"/>
      <c r="D50" s="381"/>
      <c r="E50" s="381"/>
      <c r="F50" s="381"/>
      <c r="G50" s="349"/>
      <c r="H50" s="349"/>
      <c r="I50" s="353"/>
      <c r="J50" s="339"/>
      <c r="K50" s="344"/>
      <c r="L50" s="345"/>
      <c r="M50" s="343"/>
      <c r="N50" s="342"/>
      <c r="O50" s="347"/>
      <c r="P50" s="342">
        <f>IF(NOT(ISERROR(MATCH(O50,_xlfn.ANCHORARRAY(I61),0))),N63&amp;"Por favor no seleccionar los criterios de impacto",O50)</f>
        <v>0</v>
      </c>
      <c r="Q50" s="343"/>
      <c r="R50" s="342"/>
      <c r="S50" s="346"/>
      <c r="T50" s="171">
        <v>2</v>
      </c>
      <c r="U50" s="182"/>
      <c r="V50" s="173" t="str">
        <f>IF(OR(W50="Preventivo",W50="Detectivo"),"Probabilidad",IF(W50="Correctivo","Impacto",""))</f>
        <v/>
      </c>
      <c r="W50" s="174"/>
      <c r="X50" s="174"/>
      <c r="Y50" s="175" t="str">
        <f t="shared" ref="Y50:Y54" si="43">IF(AND(W50="Preventivo",X50="Automático"),"50%",IF(AND(W50="Preventivo",X50="Manual"),"40%",IF(AND(W50="Detectivo",X50="Automático"),"40%",IF(AND(W50="Detectivo",X50="Manual"),"30%",IF(AND(W50="Correctivo",X50="Automático"),"35%",IF(AND(W50="Correctivo",X50="Manual"),"25%",""))))))</f>
        <v/>
      </c>
      <c r="Z50" s="174"/>
      <c r="AA50" s="174"/>
      <c r="AB50" s="174"/>
      <c r="AC50" s="176" t="str">
        <f>IFERROR(IF(AND(V49="Probabilidad",V50="Probabilidad"),(AE49-(+AE49*Y50)),IF(V50="Probabilidad",(N49-(+N49*Y50)),IF(V50="Impacto",AE49,""))),"")</f>
        <v/>
      </c>
      <c r="AD50" s="177" t="str">
        <f t="shared" si="1"/>
        <v/>
      </c>
      <c r="AE50" s="178" t="str">
        <f t="shared" ref="AE50:AE54" si="44">+AC50</f>
        <v/>
      </c>
      <c r="AF50" s="177" t="str">
        <f t="shared" si="3"/>
        <v/>
      </c>
      <c r="AG50" s="178" t="str">
        <f>IFERROR(IF(AND(V49="Impacto",V50="Impacto"),(AG49-(+AG49*Y50)),IF(V50="Impacto",(R49-(+R49*Y50)),IF(V50="Probabilidad",AG49,""))),"")</f>
        <v/>
      </c>
      <c r="AH50" s="179" t="str">
        <f t="shared" ref="AH50:AH51" si="45">IFERROR(IF(OR(AND(AD50="Muy Baja",AF50="Leve"),AND(AD50="Muy Baja",AF50="Menor"),AND(AD50="Baja",AF50="Leve")),"Bajo",IF(OR(AND(AD50="Muy baja",AF50="Moderado"),AND(AD50="Baja",AF50="Menor"),AND(AD50="Baja",AF50="Moderado"),AND(AD50="Media",AF50="Leve"),AND(AD50="Media",AF50="Menor"),AND(AD50="Media",AF50="Moderado"),AND(AD50="Alta",AF50="Leve"),AND(AD50="Alta",AF50="Menor")),"Moderado",IF(OR(AND(AD50="Muy Baja",AF50="Mayor"),AND(AD50="Baja",AF50="Mayor"),AND(AD50="Media",AF50="Mayor"),AND(AD50="Alta",AF50="Moderado"),AND(AD50="Alta",AF50="Mayor"),AND(AD50="Muy Alta",AF50="Leve"),AND(AD50="Muy Alta",AF50="Menor"),AND(AD50="Muy Alta",AF50="Moderado"),AND(AD50="Muy Alta",AF50="Mayor")),"Alto",IF(OR(AND(AD50="Muy Baja",AF50="Catastrófico"),AND(AD50="Baja",AF50="Catastrófico"),AND(AD50="Media",AF50="Catastrófico"),AND(AD50="Alta",AF50="Catastrófico"),AND(AD50="Muy Alta",AF50="Catastrófico")),"Extremo","")))),"")</f>
        <v/>
      </c>
      <c r="AI50" s="180"/>
      <c r="AJ50" s="172"/>
      <c r="AK50" s="326"/>
      <c r="AL50" s="336"/>
      <c r="AM50" s="333"/>
      <c r="AN50" s="320"/>
      <c r="AO50" s="320"/>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row>
    <row r="51" spans="1:73" s="169" customFormat="1" ht="70.5" hidden="1" customHeight="1" x14ac:dyDescent="0.2">
      <c r="A51" s="365"/>
      <c r="B51" s="351"/>
      <c r="C51" s="351"/>
      <c r="D51" s="381"/>
      <c r="E51" s="381"/>
      <c r="F51" s="381"/>
      <c r="G51" s="349"/>
      <c r="H51" s="349"/>
      <c r="I51" s="353"/>
      <c r="J51" s="339"/>
      <c r="K51" s="344"/>
      <c r="L51" s="345"/>
      <c r="M51" s="343"/>
      <c r="N51" s="342"/>
      <c r="O51" s="347"/>
      <c r="P51" s="342">
        <f>IF(NOT(ISERROR(MATCH(O51,_xlfn.ANCHORARRAY(I62),0))),N64&amp;"Por favor no seleccionar los criterios de impacto",O51)</f>
        <v>0</v>
      </c>
      <c r="Q51" s="343"/>
      <c r="R51" s="342"/>
      <c r="S51" s="346"/>
      <c r="T51" s="171">
        <v>3</v>
      </c>
      <c r="U51" s="186"/>
      <c r="V51" s="173" t="str">
        <f>IF(OR(W51="Preventivo",W51="Detectivo"),"Probabilidad",IF(W51="Correctivo","Impacto",""))</f>
        <v/>
      </c>
      <c r="W51" s="174"/>
      <c r="X51" s="174"/>
      <c r="Y51" s="175" t="str">
        <f t="shared" si="43"/>
        <v/>
      </c>
      <c r="Z51" s="174"/>
      <c r="AA51" s="174"/>
      <c r="AB51" s="174"/>
      <c r="AC51" s="176" t="str">
        <f>IFERROR(IF(AND(V50="Probabilidad",V51="Probabilidad"),(AE50-(+AE50*Y51)),IF(AND(V50="Impacto",V51="Probabilidad"),(AE49-(+AE49*Y51)),IF(V51="Impacto",AE50,""))),"")</f>
        <v/>
      </c>
      <c r="AD51" s="177" t="str">
        <f t="shared" si="1"/>
        <v/>
      </c>
      <c r="AE51" s="178" t="str">
        <f t="shared" si="44"/>
        <v/>
      </c>
      <c r="AF51" s="177" t="str">
        <f t="shared" si="3"/>
        <v/>
      </c>
      <c r="AG51" s="178" t="str">
        <f>IFERROR(IF(AND(V50="Impacto",V51="Impacto"),(AG50-(+AG50*Y51)),IF(AND(V50="Probabilidad",V51="Impacto"),(AG49-(+AG49*Y51)),IF(V51="Probabilidad",AG50,""))),"")</f>
        <v/>
      </c>
      <c r="AH51" s="179" t="str">
        <f t="shared" si="45"/>
        <v/>
      </c>
      <c r="AI51" s="180"/>
      <c r="AJ51" s="172"/>
      <c r="AK51" s="326"/>
      <c r="AL51" s="336"/>
      <c r="AM51" s="333"/>
      <c r="AN51" s="320"/>
      <c r="AO51" s="320"/>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row>
    <row r="52" spans="1:73" s="169" customFormat="1" ht="70.5" hidden="1" customHeight="1" x14ac:dyDescent="0.2">
      <c r="A52" s="365"/>
      <c r="B52" s="351"/>
      <c r="C52" s="351"/>
      <c r="D52" s="381"/>
      <c r="E52" s="381"/>
      <c r="F52" s="381"/>
      <c r="G52" s="349"/>
      <c r="H52" s="349"/>
      <c r="I52" s="353"/>
      <c r="J52" s="339"/>
      <c r="K52" s="344"/>
      <c r="L52" s="345"/>
      <c r="M52" s="343"/>
      <c r="N52" s="342"/>
      <c r="O52" s="347"/>
      <c r="P52" s="342">
        <f>IF(NOT(ISERROR(MATCH(O52,_xlfn.ANCHORARRAY(I63),0))),N65&amp;"Por favor no seleccionar los criterios de impacto",O52)</f>
        <v>0</v>
      </c>
      <c r="Q52" s="343"/>
      <c r="R52" s="342"/>
      <c r="S52" s="346"/>
      <c r="T52" s="171">
        <v>4</v>
      </c>
      <c r="U52" s="182"/>
      <c r="V52" s="173" t="str">
        <f t="shared" ref="V52:V54" si="46">IF(OR(W52="Preventivo",W52="Detectivo"),"Probabilidad",IF(W52="Correctivo","Impacto",""))</f>
        <v/>
      </c>
      <c r="W52" s="174"/>
      <c r="X52" s="174"/>
      <c r="Y52" s="175" t="str">
        <f t="shared" si="43"/>
        <v/>
      </c>
      <c r="Z52" s="174"/>
      <c r="AA52" s="174"/>
      <c r="AB52" s="174"/>
      <c r="AC52" s="176" t="str">
        <f t="shared" ref="AC52:AC54" si="47">IFERROR(IF(AND(V51="Probabilidad",V52="Probabilidad"),(AE51-(+AE51*Y52)),IF(AND(V51="Impacto",V52="Probabilidad"),(AE50-(+AE50*Y52)),IF(V52="Impacto",AE51,""))),"")</f>
        <v/>
      </c>
      <c r="AD52" s="177" t="str">
        <f t="shared" si="1"/>
        <v/>
      </c>
      <c r="AE52" s="178" t="str">
        <f t="shared" si="44"/>
        <v/>
      </c>
      <c r="AF52" s="177" t="str">
        <f t="shared" si="3"/>
        <v/>
      </c>
      <c r="AG52" s="178" t="str">
        <f t="shared" ref="AG52:AG54" si="48">IFERROR(IF(AND(V51="Impacto",V52="Impacto"),(AG51-(+AG51*Y52)),IF(AND(V51="Probabilidad",V52="Impacto"),(AG50-(+AG50*Y52)),IF(V52="Probabilidad",AG51,""))),"")</f>
        <v/>
      </c>
      <c r="AH52" s="179" t="str">
        <f>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
      </c>
      <c r="AI52" s="180"/>
      <c r="AJ52" s="183"/>
      <c r="AK52" s="326"/>
      <c r="AL52" s="336"/>
      <c r="AM52" s="333"/>
      <c r="AN52" s="320"/>
      <c r="AO52" s="320"/>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row>
    <row r="53" spans="1:73" s="169" customFormat="1" ht="70.5" hidden="1" customHeight="1" x14ac:dyDescent="0.2">
      <c r="A53" s="365"/>
      <c r="B53" s="351"/>
      <c r="C53" s="351"/>
      <c r="D53" s="381"/>
      <c r="E53" s="381"/>
      <c r="F53" s="381"/>
      <c r="G53" s="349"/>
      <c r="H53" s="349"/>
      <c r="I53" s="353"/>
      <c r="J53" s="339"/>
      <c r="K53" s="344"/>
      <c r="L53" s="345"/>
      <c r="M53" s="343"/>
      <c r="N53" s="342"/>
      <c r="O53" s="347"/>
      <c r="P53" s="342">
        <f>IF(NOT(ISERROR(MATCH(O53,_xlfn.ANCHORARRAY(I64),0))),N66&amp;"Por favor no seleccionar los criterios de impacto",O53)</f>
        <v>0</v>
      </c>
      <c r="Q53" s="343"/>
      <c r="R53" s="342"/>
      <c r="S53" s="346"/>
      <c r="T53" s="171">
        <v>5</v>
      </c>
      <c r="U53" s="182"/>
      <c r="V53" s="173" t="str">
        <f t="shared" si="46"/>
        <v/>
      </c>
      <c r="W53" s="174"/>
      <c r="X53" s="174"/>
      <c r="Y53" s="175" t="str">
        <f t="shared" si="43"/>
        <v/>
      </c>
      <c r="Z53" s="174"/>
      <c r="AA53" s="174"/>
      <c r="AB53" s="174"/>
      <c r="AC53" s="176" t="str">
        <f t="shared" si="47"/>
        <v/>
      </c>
      <c r="AD53" s="177" t="str">
        <f t="shared" si="1"/>
        <v/>
      </c>
      <c r="AE53" s="178" t="str">
        <f t="shared" si="44"/>
        <v/>
      </c>
      <c r="AF53" s="177" t="str">
        <f t="shared" si="3"/>
        <v/>
      </c>
      <c r="AG53" s="178" t="str">
        <f t="shared" si="48"/>
        <v/>
      </c>
      <c r="AH53" s="179" t="str">
        <f t="shared" ref="AH53:AH54" si="49">IFERROR(IF(OR(AND(AD53="Muy Baja",AF53="Leve"),AND(AD53="Muy Baja",AF53="Menor"),AND(AD53="Baja",AF53="Leve")),"Bajo",IF(OR(AND(AD53="Muy baja",AF53="Moderado"),AND(AD53="Baja",AF53="Menor"),AND(AD53="Baja",AF53="Moderado"),AND(AD53="Media",AF53="Leve"),AND(AD53="Media",AF53="Menor"),AND(AD53="Media",AF53="Moderado"),AND(AD53="Alta",AF53="Leve"),AND(AD53="Alta",AF53="Menor")),"Moderado",IF(OR(AND(AD53="Muy Baja",AF53="Mayor"),AND(AD53="Baja",AF53="Mayor"),AND(AD53="Media",AF53="Mayor"),AND(AD53="Alta",AF53="Moderado"),AND(AD53="Alta",AF53="Mayor"),AND(AD53="Muy Alta",AF53="Leve"),AND(AD53="Muy Alta",AF53="Menor"),AND(AD53="Muy Alta",AF53="Moderado"),AND(AD53="Muy Alta",AF53="Mayor")),"Alto",IF(OR(AND(AD53="Muy Baja",AF53="Catastrófico"),AND(AD53="Baja",AF53="Catastrófico"),AND(AD53="Media",AF53="Catastrófico"),AND(AD53="Alta",AF53="Catastrófico"),AND(AD53="Muy Alta",AF53="Catastrófico")),"Extremo","")))),"")</f>
        <v/>
      </c>
      <c r="AI53" s="180"/>
      <c r="AJ53" s="183"/>
      <c r="AK53" s="326"/>
      <c r="AL53" s="336"/>
      <c r="AM53" s="333"/>
      <c r="AN53" s="320"/>
      <c r="AO53" s="320"/>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row>
    <row r="54" spans="1:73" s="169" customFormat="1" ht="70.5" hidden="1" customHeight="1" x14ac:dyDescent="0.2">
      <c r="A54" s="365"/>
      <c r="B54" s="351"/>
      <c r="C54" s="351"/>
      <c r="D54" s="381"/>
      <c r="E54" s="381"/>
      <c r="F54" s="381"/>
      <c r="G54" s="350"/>
      <c r="H54" s="350"/>
      <c r="I54" s="353"/>
      <c r="J54" s="340"/>
      <c r="K54" s="344"/>
      <c r="L54" s="345"/>
      <c r="M54" s="343"/>
      <c r="N54" s="342"/>
      <c r="O54" s="347"/>
      <c r="P54" s="342">
        <f>IF(NOT(ISERROR(MATCH(O54,_xlfn.ANCHORARRAY(I65),0))),N67&amp;"Por favor no seleccionar los criterios de impacto",O54)</f>
        <v>0</v>
      </c>
      <c r="Q54" s="343"/>
      <c r="R54" s="342"/>
      <c r="S54" s="346"/>
      <c r="T54" s="171">
        <v>6</v>
      </c>
      <c r="U54" s="182"/>
      <c r="V54" s="173" t="str">
        <f t="shared" si="46"/>
        <v/>
      </c>
      <c r="W54" s="174"/>
      <c r="X54" s="174"/>
      <c r="Y54" s="175" t="str">
        <f t="shared" si="43"/>
        <v/>
      </c>
      <c r="Z54" s="174"/>
      <c r="AA54" s="174"/>
      <c r="AB54" s="174"/>
      <c r="AC54" s="176" t="str">
        <f t="shared" si="47"/>
        <v/>
      </c>
      <c r="AD54" s="177" t="str">
        <f t="shared" si="1"/>
        <v/>
      </c>
      <c r="AE54" s="178" t="str">
        <f t="shared" si="44"/>
        <v/>
      </c>
      <c r="AF54" s="177" t="str">
        <f t="shared" si="3"/>
        <v/>
      </c>
      <c r="AG54" s="178" t="str">
        <f t="shared" si="48"/>
        <v/>
      </c>
      <c r="AH54" s="179" t="str">
        <f t="shared" si="49"/>
        <v/>
      </c>
      <c r="AI54" s="180"/>
      <c r="AJ54" s="183"/>
      <c r="AK54" s="327"/>
      <c r="AL54" s="337"/>
      <c r="AM54" s="334"/>
      <c r="AN54" s="321"/>
      <c r="AO54" s="321"/>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row>
    <row r="55" spans="1:73" s="169" customFormat="1" ht="70.5" hidden="1" customHeight="1" x14ac:dyDescent="0.2">
      <c r="A55" s="365">
        <v>8</v>
      </c>
      <c r="B55" s="351"/>
      <c r="C55" s="351"/>
      <c r="D55" s="381"/>
      <c r="E55" s="381"/>
      <c r="F55" s="381"/>
      <c r="G55" s="348"/>
      <c r="H55" s="348"/>
      <c r="I55" s="353"/>
      <c r="J55" s="338"/>
      <c r="K55" s="344"/>
      <c r="L55" s="345"/>
      <c r="M55" s="343" t="str">
        <f>IF(L55&lt;=0,"",IF(L55&lt;=2,"Muy Baja",IF(L55&lt;=24,"Baja",IF(L55&lt;=500,"Media",IF(L55&lt;=5000,"Alta","Muy Alta")))))</f>
        <v/>
      </c>
      <c r="N55" s="342" t="str">
        <f>IF(M55="","",IF(M55="Muy Baja",0.2,IF(M55="Baja",0.4,IF(M55="Media",0.6,IF(M55="Alta",0.8,IF(M55="Muy Alta",1,))))))</f>
        <v/>
      </c>
      <c r="O55" s="347"/>
      <c r="P55" s="342">
        <f>IF(NOT(ISERROR(MATCH(O55,'Tabla Impacto'!$B$221:$B$223,0))),'Tabla Impacto'!$F$223&amp;"Por favor no seleccionar los criterios de impacto(Afectación Económica o presupuestal y Pérdida Reputacional)",O55)</f>
        <v>0</v>
      </c>
      <c r="Q55" s="343" t="str">
        <f>IF(OR(P55='Tabla Impacto'!$C$11,P55='Tabla Impacto'!$D$11),"Leve",IF(OR(P55='Tabla Impacto'!$C$12,P55='Tabla Impacto'!$D$12),"Menor",IF(OR(P55='Tabla Impacto'!$C$13,P55='Tabla Impacto'!$D$13),"Moderado",IF(OR(P55='Tabla Impacto'!$C$14,P55='Tabla Impacto'!$D$14),"Mayor",IF(OR(P55='Tabla Impacto'!$C$15,P55='Tabla Impacto'!$D$15),"Catastrófico","")))))</f>
        <v/>
      </c>
      <c r="R55" s="342" t="str">
        <f>IF(Q55="","",IF(Q55="Leve",0.2,IF(Q55="Menor",0.4,IF(Q55="Moderado",0.6,IF(Q55="Mayor",0.8,IF(Q55="Catastrófico",1,))))))</f>
        <v/>
      </c>
      <c r="S55" s="346" t="str">
        <f>IF(OR(AND(M55="Muy Baja",Q55="Leve"),AND(M55="Muy Baja",Q55="Menor"),AND(M55="Baja",Q55="Leve")),"Bajo",IF(OR(AND(M55="Muy baja",Q55="Moderado"),AND(M55="Baja",Q55="Menor"),AND(M55="Baja",Q55="Moderado"),AND(M55="Media",Q55="Leve"),AND(M55="Media",Q55="Menor"),AND(M55="Media",Q55="Moderado"),AND(M55="Alta",Q55="Leve"),AND(M55="Alta",Q55="Menor")),"Moderado",IF(OR(AND(M55="Muy Baja",Q55="Mayor"),AND(M55="Baja",Q55="Mayor"),AND(M55="Media",Q55="Mayor"),AND(M55="Alta",Q55="Moderado"),AND(M55="Alta",Q55="Mayor"),AND(M55="Muy Alta",Q55="Leve"),AND(M55="Muy Alta",Q55="Menor"),AND(M55="Muy Alta",Q55="Moderado"),AND(M55="Muy Alta",Q55="Mayor")),"Alto",IF(OR(AND(M55="Muy Baja",Q55="Catastrófico"),AND(M55="Baja",Q55="Catastrófico"),AND(M55="Media",Q55="Catastrófico"),AND(M55="Alta",Q55="Catastrófico"),AND(M55="Muy Alta",Q55="Catastrófico")),"Extremo",""))))</f>
        <v/>
      </c>
      <c r="T55" s="171">
        <v>1</v>
      </c>
      <c r="U55" s="182"/>
      <c r="V55" s="173" t="str">
        <f>IF(OR(W55="Preventivo",W55="Detectivo"),"Probabilidad",IF(W55="Correctivo","Impacto",""))</f>
        <v/>
      </c>
      <c r="W55" s="174"/>
      <c r="X55" s="174"/>
      <c r="Y55" s="175" t="str">
        <f>IF(AND(W55="Preventivo",X55="Automático"),"50%",IF(AND(W55="Preventivo",X55="Manual"),"40%",IF(AND(W55="Detectivo",X55="Automático"),"40%",IF(AND(W55="Detectivo",X55="Manual"),"30%",IF(AND(W55="Correctivo",X55="Automático"),"35%",IF(AND(W55="Correctivo",X55="Manual"),"25%",""))))))</f>
        <v/>
      </c>
      <c r="Z55" s="174"/>
      <c r="AA55" s="174"/>
      <c r="AB55" s="174"/>
      <c r="AC55" s="176" t="str">
        <f>IFERROR(IF(V55="Probabilidad",(N55-(+N55*Y55)),IF(V55="Impacto",N55,"")),"")</f>
        <v/>
      </c>
      <c r="AD55" s="177" t="str">
        <f>IFERROR(IF(AC55="","",IF(AC55&lt;=0.2,"Muy Baja",IF(AC55&lt;=0.4,"Baja",IF(AC55&lt;=0.6,"Media",IF(AC55&lt;=0.8,"Alta","Muy Alta"))))),"")</f>
        <v/>
      </c>
      <c r="AE55" s="178" t="str">
        <f>+AC55</f>
        <v/>
      </c>
      <c r="AF55" s="177" t="str">
        <f>IFERROR(IF(AG55="","",IF(AG55&lt;=0.2,"Leve",IF(AG55&lt;=0.4,"Menor",IF(AG55&lt;=0.6,"Moderado",IF(AG55&lt;=0.8,"Mayor","Catastrófico"))))),"")</f>
        <v/>
      </c>
      <c r="AG55" s="178" t="str">
        <f>IFERROR(IF(V55="Impacto",(R55-(+R55*Y55)),IF(V55="Probabilidad",R55,"")),"")</f>
        <v/>
      </c>
      <c r="AH55" s="179" t="str">
        <f>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
      </c>
      <c r="AI55" s="180"/>
      <c r="AJ55" s="172"/>
      <c r="AK55" s="329"/>
      <c r="AL55" s="335"/>
      <c r="AM55" s="332"/>
      <c r="AN55" s="319"/>
      <c r="AO55" s="31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row>
    <row r="56" spans="1:73" s="169" customFormat="1" ht="70.5" hidden="1" customHeight="1" x14ac:dyDescent="0.2">
      <c r="A56" s="365"/>
      <c r="B56" s="351"/>
      <c r="C56" s="351"/>
      <c r="D56" s="381"/>
      <c r="E56" s="381"/>
      <c r="F56" s="381"/>
      <c r="G56" s="349"/>
      <c r="H56" s="349"/>
      <c r="I56" s="353"/>
      <c r="J56" s="339"/>
      <c r="K56" s="344"/>
      <c r="L56" s="345"/>
      <c r="M56" s="343"/>
      <c r="N56" s="342"/>
      <c r="O56" s="347"/>
      <c r="P56" s="342">
        <f>IF(NOT(ISERROR(MATCH(O56,_xlfn.ANCHORARRAY(I67),0))),N69&amp;"Por favor no seleccionar los criterios de impacto",O56)</f>
        <v>0</v>
      </c>
      <c r="Q56" s="343"/>
      <c r="R56" s="342"/>
      <c r="S56" s="346"/>
      <c r="T56" s="171">
        <v>2</v>
      </c>
      <c r="U56" s="182"/>
      <c r="V56" s="173" t="str">
        <f>IF(OR(W56="Preventivo",W56="Detectivo"),"Probabilidad",IF(W56="Correctivo","Impacto",""))</f>
        <v/>
      </c>
      <c r="W56" s="174"/>
      <c r="X56" s="174"/>
      <c r="Y56" s="175" t="str">
        <f t="shared" ref="Y56:Y60" si="50">IF(AND(W56="Preventivo",X56="Automático"),"50%",IF(AND(W56="Preventivo",X56="Manual"),"40%",IF(AND(W56="Detectivo",X56="Automático"),"40%",IF(AND(W56="Detectivo",X56="Manual"),"30%",IF(AND(W56="Correctivo",X56="Automático"),"35%",IF(AND(W56="Correctivo",X56="Manual"),"25%",""))))))</f>
        <v/>
      </c>
      <c r="Z56" s="174"/>
      <c r="AA56" s="174"/>
      <c r="AB56" s="174"/>
      <c r="AC56" s="176" t="str">
        <f>IFERROR(IF(AND(V55="Probabilidad",V56="Probabilidad"),(AE55-(+AE55*Y56)),IF(V56="Probabilidad",(N55-(+N55*Y56)),IF(V56="Impacto",AE55,""))),"")</f>
        <v/>
      </c>
      <c r="AD56" s="177" t="str">
        <f t="shared" si="1"/>
        <v/>
      </c>
      <c r="AE56" s="178" t="str">
        <f t="shared" ref="AE56:AE60" si="51">+AC56</f>
        <v/>
      </c>
      <c r="AF56" s="177" t="str">
        <f t="shared" si="3"/>
        <v/>
      </c>
      <c r="AG56" s="178" t="str">
        <f>IFERROR(IF(AND(V55="Impacto",V56="Impacto"),(AG55-(+AG55*Y56)),IF(V56="Impacto",(R55-(+R55*Y56)),IF(V56="Probabilidad",AG55,""))),"")</f>
        <v/>
      </c>
      <c r="AH56" s="179" t="str">
        <f t="shared" ref="AH56:AH57" si="52">IFERROR(IF(OR(AND(AD56="Muy Baja",AF56="Leve"),AND(AD56="Muy Baja",AF56="Menor"),AND(AD56="Baja",AF56="Leve")),"Bajo",IF(OR(AND(AD56="Muy baja",AF56="Moderado"),AND(AD56="Baja",AF56="Menor"),AND(AD56="Baja",AF56="Moderado"),AND(AD56="Media",AF56="Leve"),AND(AD56="Media",AF56="Menor"),AND(AD56="Media",AF56="Moderado"),AND(AD56="Alta",AF56="Leve"),AND(AD56="Alta",AF56="Menor")),"Moderado",IF(OR(AND(AD56="Muy Baja",AF56="Mayor"),AND(AD56="Baja",AF56="Mayor"),AND(AD56="Media",AF56="Mayor"),AND(AD56="Alta",AF56="Moderado"),AND(AD56="Alta",AF56="Mayor"),AND(AD56="Muy Alta",AF56="Leve"),AND(AD56="Muy Alta",AF56="Menor"),AND(AD56="Muy Alta",AF56="Moderado"),AND(AD56="Muy Alta",AF56="Mayor")),"Alto",IF(OR(AND(AD56="Muy Baja",AF56="Catastrófico"),AND(AD56="Baja",AF56="Catastrófico"),AND(AD56="Media",AF56="Catastrófico"),AND(AD56="Alta",AF56="Catastrófico"),AND(AD56="Muy Alta",AF56="Catastrófico")),"Extremo","")))),"")</f>
        <v/>
      </c>
      <c r="AI56" s="180"/>
      <c r="AJ56" s="172"/>
      <c r="AK56" s="326"/>
      <c r="AL56" s="336"/>
      <c r="AM56" s="333"/>
      <c r="AN56" s="320"/>
      <c r="AO56" s="320"/>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row>
    <row r="57" spans="1:73" s="169" customFormat="1" ht="70.5" hidden="1" customHeight="1" x14ac:dyDescent="0.2">
      <c r="A57" s="365"/>
      <c r="B57" s="351"/>
      <c r="C57" s="351"/>
      <c r="D57" s="381"/>
      <c r="E57" s="381"/>
      <c r="F57" s="381"/>
      <c r="G57" s="349"/>
      <c r="H57" s="349"/>
      <c r="I57" s="353"/>
      <c r="J57" s="339"/>
      <c r="K57" s="344"/>
      <c r="L57" s="345"/>
      <c r="M57" s="343"/>
      <c r="N57" s="342"/>
      <c r="O57" s="347"/>
      <c r="P57" s="342">
        <f>IF(NOT(ISERROR(MATCH(O57,_xlfn.ANCHORARRAY(I68),0))),N70&amp;"Por favor no seleccionar los criterios de impacto",O57)</f>
        <v>0</v>
      </c>
      <c r="Q57" s="343"/>
      <c r="R57" s="342"/>
      <c r="S57" s="346"/>
      <c r="T57" s="171">
        <v>3</v>
      </c>
      <c r="U57" s="186"/>
      <c r="V57" s="173" t="str">
        <f>IF(OR(W57="Preventivo",W57="Detectivo"),"Probabilidad",IF(W57="Correctivo","Impacto",""))</f>
        <v/>
      </c>
      <c r="W57" s="174"/>
      <c r="X57" s="174"/>
      <c r="Y57" s="175" t="str">
        <f t="shared" si="50"/>
        <v/>
      </c>
      <c r="Z57" s="174"/>
      <c r="AA57" s="174"/>
      <c r="AB57" s="174"/>
      <c r="AC57" s="176" t="str">
        <f>IFERROR(IF(AND(V56="Probabilidad",V57="Probabilidad"),(AE56-(+AE56*Y57)),IF(AND(V56="Impacto",V57="Probabilidad"),(AE55-(+AE55*Y57)),IF(V57="Impacto",AE56,""))),"")</f>
        <v/>
      </c>
      <c r="AD57" s="177" t="str">
        <f t="shared" si="1"/>
        <v/>
      </c>
      <c r="AE57" s="178" t="str">
        <f t="shared" si="51"/>
        <v/>
      </c>
      <c r="AF57" s="177" t="str">
        <f t="shared" si="3"/>
        <v/>
      </c>
      <c r="AG57" s="178" t="str">
        <f>IFERROR(IF(AND(V56="Impacto",V57="Impacto"),(AG56-(+AG56*Y57)),IF(AND(V56="Probabilidad",V57="Impacto"),(AG55-(+AG55*Y57)),IF(V57="Probabilidad",AG56,""))),"")</f>
        <v/>
      </c>
      <c r="AH57" s="179" t="str">
        <f t="shared" si="52"/>
        <v/>
      </c>
      <c r="AI57" s="180"/>
      <c r="AJ57" s="172"/>
      <c r="AK57" s="326"/>
      <c r="AL57" s="336"/>
      <c r="AM57" s="333"/>
      <c r="AN57" s="320"/>
      <c r="AO57" s="320"/>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row>
    <row r="58" spans="1:73" s="169" customFormat="1" ht="70.5" hidden="1" customHeight="1" x14ac:dyDescent="0.2">
      <c r="A58" s="365"/>
      <c r="B58" s="351"/>
      <c r="C58" s="351"/>
      <c r="D58" s="381"/>
      <c r="E58" s="381"/>
      <c r="F58" s="381"/>
      <c r="G58" s="349"/>
      <c r="H58" s="349"/>
      <c r="I58" s="353"/>
      <c r="J58" s="339"/>
      <c r="K58" s="344"/>
      <c r="L58" s="345"/>
      <c r="M58" s="343"/>
      <c r="N58" s="342"/>
      <c r="O58" s="347"/>
      <c r="P58" s="342">
        <f>IF(NOT(ISERROR(MATCH(O58,_xlfn.ANCHORARRAY(I69),0))),N71&amp;"Por favor no seleccionar los criterios de impacto",O58)</f>
        <v>0</v>
      </c>
      <c r="Q58" s="343"/>
      <c r="R58" s="342"/>
      <c r="S58" s="346"/>
      <c r="T58" s="171">
        <v>4</v>
      </c>
      <c r="U58" s="182"/>
      <c r="V58" s="173" t="str">
        <f t="shared" ref="V58:V60" si="53">IF(OR(W58="Preventivo",W58="Detectivo"),"Probabilidad",IF(W58="Correctivo","Impacto",""))</f>
        <v/>
      </c>
      <c r="W58" s="174"/>
      <c r="X58" s="174"/>
      <c r="Y58" s="175" t="str">
        <f t="shared" si="50"/>
        <v/>
      </c>
      <c r="Z58" s="174"/>
      <c r="AA58" s="174"/>
      <c r="AB58" s="174"/>
      <c r="AC58" s="176" t="str">
        <f t="shared" ref="AC58:AC60" si="54">IFERROR(IF(AND(V57="Probabilidad",V58="Probabilidad"),(AE57-(+AE57*Y58)),IF(AND(V57="Impacto",V58="Probabilidad"),(AE56-(+AE56*Y58)),IF(V58="Impacto",AE57,""))),"")</f>
        <v/>
      </c>
      <c r="AD58" s="177" t="str">
        <f t="shared" si="1"/>
        <v/>
      </c>
      <c r="AE58" s="178" t="str">
        <f t="shared" si="51"/>
        <v/>
      </c>
      <c r="AF58" s="177" t="str">
        <f t="shared" si="3"/>
        <v/>
      </c>
      <c r="AG58" s="178" t="str">
        <f t="shared" ref="AG58:AG60" si="55">IFERROR(IF(AND(V57="Impacto",V58="Impacto"),(AG57-(+AG57*Y58)),IF(AND(V57="Probabilidad",V58="Impacto"),(AG56-(+AG56*Y58)),IF(V58="Probabilidad",AG57,""))),"")</f>
        <v/>
      </c>
      <c r="AH58" s="179" t="str">
        <f>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
      </c>
      <c r="AI58" s="180"/>
      <c r="AJ58" s="183"/>
      <c r="AK58" s="326"/>
      <c r="AL58" s="336"/>
      <c r="AM58" s="333"/>
      <c r="AN58" s="320"/>
      <c r="AO58" s="320"/>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49"/>
      <c r="BR58" s="149"/>
      <c r="BS58" s="149"/>
      <c r="BT58" s="149"/>
      <c r="BU58" s="149"/>
    </row>
    <row r="59" spans="1:73" s="169" customFormat="1" ht="70.5" hidden="1" customHeight="1" x14ac:dyDescent="0.2">
      <c r="A59" s="365"/>
      <c r="B59" s="351"/>
      <c r="C59" s="351"/>
      <c r="D59" s="381"/>
      <c r="E59" s="381"/>
      <c r="F59" s="381"/>
      <c r="G59" s="349"/>
      <c r="H59" s="349"/>
      <c r="I59" s="353"/>
      <c r="J59" s="339"/>
      <c r="K59" s="344"/>
      <c r="L59" s="345"/>
      <c r="M59" s="343"/>
      <c r="N59" s="342"/>
      <c r="O59" s="347"/>
      <c r="P59" s="342">
        <f>IF(NOT(ISERROR(MATCH(O59,_xlfn.ANCHORARRAY(I70),0))),N72&amp;"Por favor no seleccionar los criterios de impacto",O59)</f>
        <v>0</v>
      </c>
      <c r="Q59" s="343"/>
      <c r="R59" s="342"/>
      <c r="S59" s="346"/>
      <c r="T59" s="171">
        <v>5</v>
      </c>
      <c r="U59" s="182"/>
      <c r="V59" s="173" t="str">
        <f t="shared" si="53"/>
        <v/>
      </c>
      <c r="W59" s="174"/>
      <c r="X59" s="174"/>
      <c r="Y59" s="175" t="str">
        <f t="shared" si="50"/>
        <v/>
      </c>
      <c r="Z59" s="174"/>
      <c r="AA59" s="174"/>
      <c r="AB59" s="174"/>
      <c r="AC59" s="176" t="str">
        <f t="shared" si="54"/>
        <v/>
      </c>
      <c r="AD59" s="177" t="str">
        <f t="shared" si="1"/>
        <v/>
      </c>
      <c r="AE59" s="178" t="str">
        <f t="shared" si="51"/>
        <v/>
      </c>
      <c r="AF59" s="177" t="str">
        <f t="shared" si="3"/>
        <v/>
      </c>
      <c r="AG59" s="178" t="str">
        <f t="shared" si="55"/>
        <v/>
      </c>
      <c r="AH59" s="179" t="str">
        <f t="shared" ref="AH59:AH60" si="56">IFERROR(IF(OR(AND(AD59="Muy Baja",AF59="Leve"),AND(AD59="Muy Baja",AF59="Menor"),AND(AD59="Baja",AF59="Leve")),"Bajo",IF(OR(AND(AD59="Muy baja",AF59="Moderado"),AND(AD59="Baja",AF59="Menor"),AND(AD59="Baja",AF59="Moderado"),AND(AD59="Media",AF59="Leve"),AND(AD59="Media",AF59="Menor"),AND(AD59="Media",AF59="Moderado"),AND(AD59="Alta",AF59="Leve"),AND(AD59="Alta",AF59="Menor")),"Moderado",IF(OR(AND(AD59="Muy Baja",AF59="Mayor"),AND(AD59="Baja",AF59="Mayor"),AND(AD59="Media",AF59="Mayor"),AND(AD59="Alta",AF59="Moderado"),AND(AD59="Alta",AF59="Mayor"),AND(AD59="Muy Alta",AF59="Leve"),AND(AD59="Muy Alta",AF59="Menor"),AND(AD59="Muy Alta",AF59="Moderado"),AND(AD59="Muy Alta",AF59="Mayor")),"Alto",IF(OR(AND(AD59="Muy Baja",AF59="Catastrófico"),AND(AD59="Baja",AF59="Catastrófico"),AND(AD59="Media",AF59="Catastrófico"),AND(AD59="Alta",AF59="Catastrófico"),AND(AD59="Muy Alta",AF59="Catastrófico")),"Extremo","")))),"")</f>
        <v/>
      </c>
      <c r="AI59" s="180"/>
      <c r="AJ59" s="183"/>
      <c r="AK59" s="326"/>
      <c r="AL59" s="336"/>
      <c r="AM59" s="333"/>
      <c r="AN59" s="320"/>
      <c r="AO59" s="320"/>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row>
    <row r="60" spans="1:73" s="169" customFormat="1" ht="70.5" hidden="1" customHeight="1" x14ac:dyDescent="0.2">
      <c r="A60" s="365"/>
      <c r="B60" s="351"/>
      <c r="C60" s="351"/>
      <c r="D60" s="381"/>
      <c r="E60" s="381"/>
      <c r="F60" s="381"/>
      <c r="G60" s="350"/>
      <c r="H60" s="350"/>
      <c r="I60" s="353"/>
      <c r="J60" s="340"/>
      <c r="K60" s="344"/>
      <c r="L60" s="345"/>
      <c r="M60" s="343"/>
      <c r="N60" s="342"/>
      <c r="O60" s="347"/>
      <c r="P60" s="342">
        <f>IF(NOT(ISERROR(MATCH(O60,_xlfn.ANCHORARRAY(I71),0))),N73&amp;"Por favor no seleccionar los criterios de impacto",O60)</f>
        <v>0</v>
      </c>
      <c r="Q60" s="343"/>
      <c r="R60" s="342"/>
      <c r="S60" s="346"/>
      <c r="T60" s="171">
        <v>6</v>
      </c>
      <c r="U60" s="182"/>
      <c r="V60" s="173" t="str">
        <f t="shared" si="53"/>
        <v/>
      </c>
      <c r="W60" s="174"/>
      <c r="X60" s="174"/>
      <c r="Y60" s="175" t="str">
        <f t="shared" si="50"/>
        <v/>
      </c>
      <c r="Z60" s="174"/>
      <c r="AA60" s="174"/>
      <c r="AB60" s="174"/>
      <c r="AC60" s="176" t="str">
        <f t="shared" si="54"/>
        <v/>
      </c>
      <c r="AD60" s="177" t="str">
        <f t="shared" si="1"/>
        <v/>
      </c>
      <c r="AE60" s="178" t="str">
        <f t="shared" si="51"/>
        <v/>
      </c>
      <c r="AF60" s="177" t="str">
        <f t="shared" si="3"/>
        <v/>
      </c>
      <c r="AG60" s="178" t="str">
        <f t="shared" si="55"/>
        <v/>
      </c>
      <c r="AH60" s="179" t="str">
        <f t="shared" si="56"/>
        <v/>
      </c>
      <c r="AI60" s="180"/>
      <c r="AJ60" s="183"/>
      <c r="AK60" s="327"/>
      <c r="AL60" s="337"/>
      <c r="AM60" s="334"/>
      <c r="AN60" s="321"/>
      <c r="AO60" s="321"/>
      <c r="AP60" s="149"/>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row>
    <row r="61" spans="1:73" s="169" customFormat="1" ht="70.5" hidden="1" customHeight="1" x14ac:dyDescent="0.2">
      <c r="A61" s="365">
        <v>9</v>
      </c>
      <c r="B61" s="351"/>
      <c r="C61" s="351"/>
      <c r="D61" s="381"/>
      <c r="E61" s="381"/>
      <c r="F61" s="381"/>
      <c r="G61" s="348"/>
      <c r="H61" s="348"/>
      <c r="I61" s="353"/>
      <c r="J61" s="338"/>
      <c r="K61" s="344"/>
      <c r="L61" s="345"/>
      <c r="M61" s="343" t="str">
        <f>IF(L61&lt;=0,"",IF(L61&lt;=2,"Muy Baja",IF(L61&lt;=24,"Baja",IF(L61&lt;=500,"Media",IF(L61&lt;=5000,"Alta","Muy Alta")))))</f>
        <v/>
      </c>
      <c r="N61" s="342" t="str">
        <f>IF(M61="","",IF(M61="Muy Baja",0.2,IF(M61="Baja",0.4,IF(M61="Media",0.6,IF(M61="Alta",0.8,IF(M61="Muy Alta",1,))))))</f>
        <v/>
      </c>
      <c r="O61" s="347"/>
      <c r="P61" s="342">
        <f>IF(NOT(ISERROR(MATCH(O61,'Tabla Impacto'!$B$221:$B$223,0))),'Tabla Impacto'!$F$223&amp;"Por favor no seleccionar los criterios de impacto(Afectación Económica o presupuestal y Pérdida Reputacional)",O61)</f>
        <v>0</v>
      </c>
      <c r="Q61" s="343" t="str">
        <f>IF(OR(P61='Tabla Impacto'!$C$11,P61='Tabla Impacto'!$D$11),"Leve",IF(OR(P61='Tabla Impacto'!$C$12,P61='Tabla Impacto'!$D$12),"Menor",IF(OR(P61='Tabla Impacto'!$C$13,P61='Tabla Impacto'!$D$13),"Moderado",IF(OR(P61='Tabla Impacto'!$C$14,P61='Tabla Impacto'!$D$14),"Mayor",IF(OR(P61='Tabla Impacto'!$C$15,P61='Tabla Impacto'!$D$15),"Catastrófico","")))))</f>
        <v/>
      </c>
      <c r="R61" s="342" t="str">
        <f>IF(Q61="","",IF(Q61="Leve",0.2,IF(Q61="Menor",0.4,IF(Q61="Moderado",0.6,IF(Q61="Mayor",0.8,IF(Q61="Catastrófico",1,))))))</f>
        <v/>
      </c>
      <c r="S61" s="346" t="str">
        <f>IF(OR(AND(M61="Muy Baja",Q61="Leve"),AND(M61="Muy Baja",Q61="Menor"),AND(M61="Baja",Q61="Leve")),"Bajo",IF(OR(AND(M61="Muy baja",Q61="Moderado"),AND(M61="Baja",Q61="Menor"),AND(M61="Baja",Q61="Moderado"),AND(M61="Media",Q61="Leve"),AND(M61="Media",Q61="Menor"),AND(M61="Media",Q61="Moderado"),AND(M61="Alta",Q61="Leve"),AND(M61="Alta",Q61="Menor")),"Moderado",IF(OR(AND(M61="Muy Baja",Q61="Mayor"),AND(M61="Baja",Q61="Mayor"),AND(M61="Media",Q61="Mayor"),AND(M61="Alta",Q61="Moderado"),AND(M61="Alta",Q61="Mayor"),AND(M61="Muy Alta",Q61="Leve"),AND(M61="Muy Alta",Q61="Menor"),AND(M61="Muy Alta",Q61="Moderado"),AND(M61="Muy Alta",Q61="Mayor")),"Alto",IF(OR(AND(M61="Muy Baja",Q61="Catastrófico"),AND(M61="Baja",Q61="Catastrófico"),AND(M61="Media",Q61="Catastrófico"),AND(M61="Alta",Q61="Catastrófico"),AND(M61="Muy Alta",Q61="Catastrófico")),"Extremo",""))))</f>
        <v/>
      </c>
      <c r="T61" s="171">
        <v>1</v>
      </c>
      <c r="U61" s="182"/>
      <c r="V61" s="173" t="str">
        <f>IF(OR(W61="Preventivo",W61="Detectivo"),"Probabilidad",IF(W61="Correctivo","Impacto",""))</f>
        <v/>
      </c>
      <c r="W61" s="174"/>
      <c r="X61" s="174"/>
      <c r="Y61" s="175" t="str">
        <f>IF(AND(W61="Preventivo",X61="Automático"),"50%",IF(AND(W61="Preventivo",X61="Manual"),"40%",IF(AND(W61="Detectivo",X61="Automático"),"40%",IF(AND(W61="Detectivo",X61="Manual"),"30%",IF(AND(W61="Correctivo",X61="Automático"),"35%",IF(AND(W61="Correctivo",X61="Manual"),"25%",""))))))</f>
        <v/>
      </c>
      <c r="Z61" s="174"/>
      <c r="AA61" s="174"/>
      <c r="AB61" s="174"/>
      <c r="AC61" s="176" t="str">
        <f>IFERROR(IF(V61="Probabilidad",(N61-(+N61*Y61)),IF(V61="Impacto",N61,"")),"")</f>
        <v/>
      </c>
      <c r="AD61" s="177" t="str">
        <f>IFERROR(IF(AC61="","",IF(AC61&lt;=0.2,"Muy Baja",IF(AC61&lt;=0.4,"Baja",IF(AC61&lt;=0.6,"Media",IF(AC61&lt;=0.8,"Alta","Muy Alta"))))),"")</f>
        <v/>
      </c>
      <c r="AE61" s="178" t="str">
        <f>+AC61</f>
        <v/>
      </c>
      <c r="AF61" s="177" t="str">
        <f>IFERROR(IF(AG61="","",IF(AG61&lt;=0.2,"Leve",IF(AG61&lt;=0.4,"Menor",IF(AG61&lt;=0.6,"Moderado",IF(AG61&lt;=0.8,"Mayor","Catastrófico"))))),"")</f>
        <v/>
      </c>
      <c r="AG61" s="178" t="str">
        <f>IFERROR(IF(V61="Impacto",(R61-(+R61*Y61)),IF(V61="Probabilidad",R61,"")),"")</f>
        <v/>
      </c>
      <c r="AH61" s="179" t="str">
        <f>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
      </c>
      <c r="AI61" s="180"/>
      <c r="AJ61" s="172"/>
      <c r="AK61" s="329"/>
      <c r="AL61" s="335"/>
      <c r="AM61" s="332"/>
      <c r="AN61" s="319"/>
      <c r="AO61" s="319"/>
      <c r="AP61" s="149"/>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row>
    <row r="62" spans="1:73" s="169" customFormat="1" ht="70.5" hidden="1" customHeight="1" x14ac:dyDescent="0.2">
      <c r="A62" s="365"/>
      <c r="B62" s="351"/>
      <c r="C62" s="351"/>
      <c r="D62" s="381"/>
      <c r="E62" s="381"/>
      <c r="F62" s="381"/>
      <c r="G62" s="349"/>
      <c r="H62" s="349"/>
      <c r="I62" s="353"/>
      <c r="J62" s="339"/>
      <c r="K62" s="344"/>
      <c r="L62" s="345"/>
      <c r="M62" s="343"/>
      <c r="N62" s="342"/>
      <c r="O62" s="347"/>
      <c r="P62" s="342">
        <f>IF(NOT(ISERROR(MATCH(O62,_xlfn.ANCHORARRAY(I73),0))),N75&amp;"Por favor no seleccionar los criterios de impacto",O62)</f>
        <v>0</v>
      </c>
      <c r="Q62" s="343"/>
      <c r="R62" s="342"/>
      <c r="S62" s="346"/>
      <c r="T62" s="171">
        <v>2</v>
      </c>
      <c r="U62" s="182"/>
      <c r="V62" s="173" t="str">
        <f>IF(OR(W62="Preventivo",W62="Detectivo"),"Probabilidad",IF(W62="Correctivo","Impacto",""))</f>
        <v/>
      </c>
      <c r="W62" s="174"/>
      <c r="X62" s="174"/>
      <c r="Y62" s="175" t="str">
        <f t="shared" ref="Y62:Y66" si="57">IF(AND(W62="Preventivo",X62="Automático"),"50%",IF(AND(W62="Preventivo",X62="Manual"),"40%",IF(AND(W62="Detectivo",X62="Automático"),"40%",IF(AND(W62="Detectivo",X62="Manual"),"30%",IF(AND(W62="Correctivo",X62="Automático"),"35%",IF(AND(W62="Correctivo",X62="Manual"),"25%",""))))))</f>
        <v/>
      </c>
      <c r="Z62" s="174"/>
      <c r="AA62" s="174"/>
      <c r="AB62" s="174"/>
      <c r="AC62" s="176" t="str">
        <f>IFERROR(IF(AND(V61="Probabilidad",V62="Probabilidad"),(AE61-(+AE61*Y62)),IF(V62="Probabilidad",(N61-(+N61*Y62)),IF(V62="Impacto",AE61,""))),"")</f>
        <v/>
      </c>
      <c r="AD62" s="177" t="str">
        <f t="shared" si="1"/>
        <v/>
      </c>
      <c r="AE62" s="178" t="str">
        <f t="shared" ref="AE62:AE66" si="58">+AC62</f>
        <v/>
      </c>
      <c r="AF62" s="177" t="str">
        <f t="shared" si="3"/>
        <v/>
      </c>
      <c r="AG62" s="178" t="str">
        <f>IFERROR(IF(AND(V61="Impacto",V62="Impacto"),(AG61-(+AG61*Y62)),IF(V62="Impacto",(R61-(+R61*Y62)),IF(V62="Probabilidad",AG61,""))),"")</f>
        <v/>
      </c>
      <c r="AH62" s="179" t="str">
        <f t="shared" ref="AH62:AH63" si="59">IFERROR(IF(OR(AND(AD62="Muy Baja",AF62="Leve"),AND(AD62="Muy Baja",AF62="Menor"),AND(AD62="Baja",AF62="Leve")),"Bajo",IF(OR(AND(AD62="Muy baja",AF62="Moderado"),AND(AD62="Baja",AF62="Menor"),AND(AD62="Baja",AF62="Moderado"),AND(AD62="Media",AF62="Leve"),AND(AD62="Media",AF62="Menor"),AND(AD62="Media",AF62="Moderado"),AND(AD62="Alta",AF62="Leve"),AND(AD62="Alta",AF62="Menor")),"Moderado",IF(OR(AND(AD62="Muy Baja",AF62="Mayor"),AND(AD62="Baja",AF62="Mayor"),AND(AD62="Media",AF62="Mayor"),AND(AD62="Alta",AF62="Moderado"),AND(AD62="Alta",AF62="Mayor"),AND(AD62="Muy Alta",AF62="Leve"),AND(AD62="Muy Alta",AF62="Menor"),AND(AD62="Muy Alta",AF62="Moderado"),AND(AD62="Muy Alta",AF62="Mayor")),"Alto",IF(OR(AND(AD62="Muy Baja",AF62="Catastrófico"),AND(AD62="Baja",AF62="Catastrófico"),AND(AD62="Media",AF62="Catastrófico"),AND(AD62="Alta",AF62="Catastrófico"),AND(AD62="Muy Alta",AF62="Catastrófico")),"Extremo","")))),"")</f>
        <v/>
      </c>
      <c r="AI62" s="180"/>
      <c r="AJ62" s="172"/>
      <c r="AK62" s="326"/>
      <c r="AL62" s="336"/>
      <c r="AM62" s="333"/>
      <c r="AN62" s="320"/>
      <c r="AO62" s="320"/>
      <c r="AP62" s="149"/>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row>
    <row r="63" spans="1:73" s="169" customFormat="1" ht="70.5" hidden="1" customHeight="1" x14ac:dyDescent="0.2">
      <c r="A63" s="365"/>
      <c r="B63" s="351"/>
      <c r="C63" s="351"/>
      <c r="D63" s="381"/>
      <c r="E63" s="381"/>
      <c r="F63" s="381"/>
      <c r="G63" s="349"/>
      <c r="H63" s="349"/>
      <c r="I63" s="353"/>
      <c r="J63" s="339"/>
      <c r="K63" s="344"/>
      <c r="L63" s="345"/>
      <c r="M63" s="343"/>
      <c r="N63" s="342"/>
      <c r="O63" s="347"/>
      <c r="P63" s="342">
        <f>IF(NOT(ISERROR(MATCH(O63,_xlfn.ANCHORARRAY(I74),0))),N76&amp;"Por favor no seleccionar los criterios de impacto",O63)</f>
        <v>0</v>
      </c>
      <c r="Q63" s="343"/>
      <c r="R63" s="342"/>
      <c r="S63" s="346"/>
      <c r="T63" s="171">
        <v>3</v>
      </c>
      <c r="U63" s="186"/>
      <c r="V63" s="173" t="str">
        <f>IF(OR(W63="Preventivo",W63="Detectivo"),"Probabilidad",IF(W63="Correctivo","Impacto",""))</f>
        <v/>
      </c>
      <c r="W63" s="174"/>
      <c r="X63" s="174"/>
      <c r="Y63" s="175" t="str">
        <f t="shared" si="57"/>
        <v/>
      </c>
      <c r="Z63" s="174"/>
      <c r="AA63" s="174"/>
      <c r="AB63" s="174"/>
      <c r="AC63" s="176" t="str">
        <f>IFERROR(IF(AND(V62="Probabilidad",V63="Probabilidad"),(AE62-(+AE62*Y63)),IF(AND(V62="Impacto",V63="Probabilidad"),(AE61-(+AE61*Y63)),IF(V63="Impacto",AE62,""))),"")</f>
        <v/>
      </c>
      <c r="AD63" s="177" t="str">
        <f t="shared" si="1"/>
        <v/>
      </c>
      <c r="AE63" s="178" t="str">
        <f t="shared" si="58"/>
        <v/>
      </c>
      <c r="AF63" s="177" t="str">
        <f t="shared" si="3"/>
        <v/>
      </c>
      <c r="AG63" s="178" t="str">
        <f>IFERROR(IF(AND(V62="Impacto",V63="Impacto"),(AG62-(+AG62*Y63)),IF(AND(V62="Probabilidad",V63="Impacto"),(AG61-(+AG61*Y63)),IF(V63="Probabilidad",AG62,""))),"")</f>
        <v/>
      </c>
      <c r="AH63" s="179" t="str">
        <f t="shared" si="59"/>
        <v/>
      </c>
      <c r="AI63" s="180"/>
      <c r="AJ63" s="172"/>
      <c r="AK63" s="326"/>
      <c r="AL63" s="336"/>
      <c r="AM63" s="333"/>
      <c r="AN63" s="320"/>
      <c r="AO63" s="320"/>
      <c r="AP63" s="149"/>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row>
    <row r="64" spans="1:73" s="169" customFormat="1" ht="70.5" hidden="1" customHeight="1" x14ac:dyDescent="0.2">
      <c r="A64" s="365"/>
      <c r="B64" s="351"/>
      <c r="C64" s="351"/>
      <c r="D64" s="381"/>
      <c r="E64" s="381"/>
      <c r="F64" s="381"/>
      <c r="G64" s="349"/>
      <c r="H64" s="349"/>
      <c r="I64" s="353"/>
      <c r="J64" s="339"/>
      <c r="K64" s="344"/>
      <c r="L64" s="345"/>
      <c r="M64" s="343"/>
      <c r="N64" s="342"/>
      <c r="O64" s="347"/>
      <c r="P64" s="342">
        <f>IF(NOT(ISERROR(MATCH(O64,_xlfn.ANCHORARRAY(I75),0))),N77&amp;"Por favor no seleccionar los criterios de impacto",O64)</f>
        <v>0</v>
      </c>
      <c r="Q64" s="343"/>
      <c r="R64" s="342"/>
      <c r="S64" s="346"/>
      <c r="T64" s="171">
        <v>4</v>
      </c>
      <c r="U64" s="182"/>
      <c r="V64" s="173" t="str">
        <f t="shared" ref="V64:V66" si="60">IF(OR(W64="Preventivo",W64="Detectivo"),"Probabilidad",IF(W64="Correctivo","Impacto",""))</f>
        <v/>
      </c>
      <c r="W64" s="174"/>
      <c r="X64" s="174"/>
      <c r="Y64" s="175" t="str">
        <f t="shared" si="57"/>
        <v/>
      </c>
      <c r="Z64" s="174"/>
      <c r="AA64" s="174"/>
      <c r="AB64" s="174"/>
      <c r="AC64" s="176" t="str">
        <f t="shared" ref="AC64:AC66" si="61">IFERROR(IF(AND(V63="Probabilidad",V64="Probabilidad"),(AE63-(+AE63*Y64)),IF(AND(V63="Impacto",V64="Probabilidad"),(AE62-(+AE62*Y64)),IF(V64="Impacto",AE63,""))),"")</f>
        <v/>
      </c>
      <c r="AD64" s="177" t="str">
        <f t="shared" si="1"/>
        <v/>
      </c>
      <c r="AE64" s="178" t="str">
        <f t="shared" si="58"/>
        <v/>
      </c>
      <c r="AF64" s="177" t="str">
        <f t="shared" si="3"/>
        <v/>
      </c>
      <c r="AG64" s="178" t="str">
        <f t="shared" ref="AG64:AG66" si="62">IFERROR(IF(AND(V63="Impacto",V64="Impacto"),(AG63-(+AG63*Y64)),IF(AND(V63="Probabilidad",V64="Impacto"),(AG62-(+AG62*Y64)),IF(V64="Probabilidad",AG63,""))),"")</f>
        <v/>
      </c>
      <c r="AH64" s="179" t="str">
        <f>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180"/>
      <c r="AJ64" s="183"/>
      <c r="AK64" s="326"/>
      <c r="AL64" s="336"/>
      <c r="AM64" s="333"/>
      <c r="AN64" s="320"/>
      <c r="AO64" s="320"/>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row>
    <row r="65" spans="1:73" s="169" customFormat="1" ht="70.5" hidden="1" customHeight="1" x14ac:dyDescent="0.2">
      <c r="A65" s="365"/>
      <c r="B65" s="351"/>
      <c r="C65" s="351"/>
      <c r="D65" s="381"/>
      <c r="E65" s="381"/>
      <c r="F65" s="381"/>
      <c r="G65" s="349"/>
      <c r="H65" s="349"/>
      <c r="I65" s="353"/>
      <c r="J65" s="339"/>
      <c r="K65" s="344"/>
      <c r="L65" s="345"/>
      <c r="M65" s="343"/>
      <c r="N65" s="342"/>
      <c r="O65" s="347"/>
      <c r="P65" s="342">
        <f>IF(NOT(ISERROR(MATCH(O65,_xlfn.ANCHORARRAY(I76),0))),N78&amp;"Por favor no seleccionar los criterios de impacto",O65)</f>
        <v>0</v>
      </c>
      <c r="Q65" s="343"/>
      <c r="R65" s="342"/>
      <c r="S65" s="346"/>
      <c r="T65" s="171">
        <v>5</v>
      </c>
      <c r="U65" s="182"/>
      <c r="V65" s="173" t="str">
        <f t="shared" si="60"/>
        <v/>
      </c>
      <c r="W65" s="174"/>
      <c r="X65" s="174"/>
      <c r="Y65" s="175" t="str">
        <f t="shared" si="57"/>
        <v/>
      </c>
      <c r="Z65" s="174"/>
      <c r="AA65" s="174"/>
      <c r="AB65" s="174"/>
      <c r="AC65" s="176" t="str">
        <f t="shared" si="61"/>
        <v/>
      </c>
      <c r="AD65" s="177" t="str">
        <f t="shared" si="1"/>
        <v/>
      </c>
      <c r="AE65" s="178" t="str">
        <f t="shared" si="58"/>
        <v/>
      </c>
      <c r="AF65" s="177" t="str">
        <f t="shared" si="3"/>
        <v/>
      </c>
      <c r="AG65" s="178" t="str">
        <f t="shared" si="62"/>
        <v/>
      </c>
      <c r="AH65" s="179" t="str">
        <f t="shared" ref="AH65:AH66" si="63">IFERROR(IF(OR(AND(AD65="Muy Baja",AF65="Leve"),AND(AD65="Muy Baja",AF65="Menor"),AND(AD65="Baja",AF65="Leve")),"Bajo",IF(OR(AND(AD65="Muy baja",AF65="Moderado"),AND(AD65="Baja",AF65="Menor"),AND(AD65="Baja",AF65="Moderado"),AND(AD65="Media",AF65="Leve"),AND(AD65="Media",AF65="Menor"),AND(AD65="Media",AF65="Moderado"),AND(AD65="Alta",AF65="Leve"),AND(AD65="Alta",AF65="Menor")),"Moderado",IF(OR(AND(AD65="Muy Baja",AF65="Mayor"),AND(AD65="Baja",AF65="Mayor"),AND(AD65="Media",AF65="Mayor"),AND(AD65="Alta",AF65="Moderado"),AND(AD65="Alta",AF65="Mayor"),AND(AD65="Muy Alta",AF65="Leve"),AND(AD65="Muy Alta",AF65="Menor"),AND(AD65="Muy Alta",AF65="Moderado"),AND(AD65="Muy Alta",AF65="Mayor")),"Alto",IF(OR(AND(AD65="Muy Baja",AF65="Catastrófico"),AND(AD65="Baja",AF65="Catastrófico"),AND(AD65="Media",AF65="Catastrófico"),AND(AD65="Alta",AF65="Catastrófico"),AND(AD65="Muy Alta",AF65="Catastrófico")),"Extremo","")))),"")</f>
        <v/>
      </c>
      <c r="AI65" s="180"/>
      <c r="AJ65" s="183"/>
      <c r="AK65" s="326"/>
      <c r="AL65" s="336"/>
      <c r="AM65" s="333"/>
      <c r="AN65" s="320"/>
      <c r="AO65" s="320"/>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row>
    <row r="66" spans="1:73" s="169" customFormat="1" ht="70.5" hidden="1" customHeight="1" x14ac:dyDescent="0.2">
      <c r="A66" s="365"/>
      <c r="B66" s="351"/>
      <c r="C66" s="351"/>
      <c r="D66" s="381"/>
      <c r="E66" s="381"/>
      <c r="F66" s="381"/>
      <c r="G66" s="350"/>
      <c r="H66" s="350"/>
      <c r="I66" s="353"/>
      <c r="J66" s="340"/>
      <c r="K66" s="344"/>
      <c r="L66" s="345"/>
      <c r="M66" s="343"/>
      <c r="N66" s="342"/>
      <c r="O66" s="347"/>
      <c r="P66" s="342">
        <f>IF(NOT(ISERROR(MATCH(O66,_xlfn.ANCHORARRAY(I77),0))),N79&amp;"Por favor no seleccionar los criterios de impacto",O66)</f>
        <v>0</v>
      </c>
      <c r="Q66" s="343"/>
      <c r="R66" s="342"/>
      <c r="S66" s="346"/>
      <c r="T66" s="171">
        <v>6</v>
      </c>
      <c r="U66" s="182"/>
      <c r="V66" s="173" t="str">
        <f t="shared" si="60"/>
        <v/>
      </c>
      <c r="W66" s="174"/>
      <c r="X66" s="174"/>
      <c r="Y66" s="175" t="str">
        <f t="shared" si="57"/>
        <v/>
      </c>
      <c r="Z66" s="174"/>
      <c r="AA66" s="174"/>
      <c r="AB66" s="174"/>
      <c r="AC66" s="176" t="str">
        <f t="shared" si="61"/>
        <v/>
      </c>
      <c r="AD66" s="177" t="str">
        <f t="shared" si="1"/>
        <v/>
      </c>
      <c r="AE66" s="178" t="str">
        <f t="shared" si="58"/>
        <v/>
      </c>
      <c r="AF66" s="177" t="str">
        <f t="shared" si="3"/>
        <v/>
      </c>
      <c r="AG66" s="178" t="str">
        <f t="shared" si="62"/>
        <v/>
      </c>
      <c r="AH66" s="179" t="str">
        <f t="shared" si="63"/>
        <v/>
      </c>
      <c r="AI66" s="180"/>
      <c r="AJ66" s="183"/>
      <c r="AK66" s="327"/>
      <c r="AL66" s="337"/>
      <c r="AM66" s="334"/>
      <c r="AN66" s="321"/>
      <c r="AO66" s="321"/>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row>
    <row r="67" spans="1:73" s="169" customFormat="1" ht="70.5" hidden="1" customHeight="1" x14ac:dyDescent="0.2">
      <c r="A67" s="365">
        <v>10</v>
      </c>
      <c r="B67" s="351"/>
      <c r="C67" s="351"/>
      <c r="D67" s="381"/>
      <c r="E67" s="381"/>
      <c r="F67" s="381"/>
      <c r="G67" s="348"/>
      <c r="H67" s="348"/>
      <c r="I67" s="353"/>
      <c r="J67" s="338"/>
      <c r="K67" s="344"/>
      <c r="L67" s="345"/>
      <c r="M67" s="343" t="str">
        <f>IF(L67&lt;=0,"",IF(L67&lt;=2,"Muy Baja",IF(L67&lt;=24,"Baja",IF(L67&lt;=500,"Media",IF(L67&lt;=5000,"Alta","Muy Alta")))))</f>
        <v/>
      </c>
      <c r="N67" s="342" t="str">
        <f>IF(M67="","",IF(M67="Muy Baja",0.2,IF(M67="Baja",0.4,IF(M67="Media",0.6,IF(M67="Alta",0.8,IF(M67="Muy Alta",1,))))))</f>
        <v/>
      </c>
      <c r="O67" s="347"/>
      <c r="P67" s="342">
        <f>IF(NOT(ISERROR(MATCH(O67,'Tabla Impacto'!$B$221:$B$223,0))),'Tabla Impacto'!$F$223&amp;"Por favor no seleccionar los criterios de impacto(Afectación Económica o presupuestal y Pérdida Reputacional)",O67)</f>
        <v>0</v>
      </c>
      <c r="Q67" s="343" t="str">
        <f>IF(OR(P67='Tabla Impacto'!$C$11,P67='Tabla Impacto'!$D$11),"Leve",IF(OR(P67='Tabla Impacto'!$C$12,P67='Tabla Impacto'!$D$12),"Menor",IF(OR(P67='Tabla Impacto'!$C$13,P67='Tabla Impacto'!$D$13),"Moderado",IF(OR(P67='Tabla Impacto'!$C$14,P67='Tabla Impacto'!$D$14),"Mayor",IF(OR(P67='Tabla Impacto'!$C$15,P67='Tabla Impacto'!$D$15),"Catastrófico","")))))</f>
        <v/>
      </c>
      <c r="R67" s="342" t="str">
        <f>IF(Q67="","",IF(Q67="Leve",0.2,IF(Q67="Menor",0.4,IF(Q67="Moderado",0.6,IF(Q67="Mayor",0.8,IF(Q67="Catastrófico",1,))))))</f>
        <v/>
      </c>
      <c r="S67" s="346" t="str">
        <f>IF(OR(AND(M67="Muy Baja",Q67="Leve"),AND(M67="Muy Baja",Q67="Menor"),AND(M67="Baja",Q67="Leve")),"Bajo",IF(OR(AND(M67="Muy baja",Q67="Moderado"),AND(M67="Baja",Q67="Menor"),AND(M67="Baja",Q67="Moderado"),AND(M67="Media",Q67="Leve"),AND(M67="Media",Q67="Menor"),AND(M67="Media",Q67="Moderado"),AND(M67="Alta",Q67="Leve"),AND(M67="Alta",Q67="Menor")),"Moderado",IF(OR(AND(M67="Muy Baja",Q67="Mayor"),AND(M67="Baja",Q67="Mayor"),AND(M67="Media",Q67="Mayor"),AND(M67="Alta",Q67="Moderado"),AND(M67="Alta",Q67="Mayor"),AND(M67="Muy Alta",Q67="Leve"),AND(M67="Muy Alta",Q67="Menor"),AND(M67="Muy Alta",Q67="Moderado"),AND(M67="Muy Alta",Q67="Mayor")),"Alto",IF(OR(AND(M67="Muy Baja",Q67="Catastrófico"),AND(M67="Baja",Q67="Catastrófico"),AND(M67="Media",Q67="Catastrófico"),AND(M67="Alta",Q67="Catastrófico"),AND(M67="Muy Alta",Q67="Catastrófico")),"Extremo",""))))</f>
        <v/>
      </c>
      <c r="T67" s="171">
        <v>1</v>
      </c>
      <c r="U67" s="182"/>
      <c r="V67" s="173" t="str">
        <f>IF(OR(W67="Preventivo",W67="Detectivo"),"Probabilidad",IF(W67="Correctivo","Impacto",""))</f>
        <v/>
      </c>
      <c r="W67" s="174"/>
      <c r="X67" s="174"/>
      <c r="Y67" s="175" t="str">
        <f>IF(AND(W67="Preventivo",X67="Automático"),"50%",IF(AND(W67="Preventivo",X67="Manual"),"40%",IF(AND(W67="Detectivo",X67="Automático"),"40%",IF(AND(W67="Detectivo",X67="Manual"),"30%",IF(AND(W67="Correctivo",X67="Automático"),"35%",IF(AND(W67="Correctivo",X67="Manual"),"25%",""))))))</f>
        <v/>
      </c>
      <c r="Z67" s="174"/>
      <c r="AA67" s="174"/>
      <c r="AB67" s="174"/>
      <c r="AC67" s="176" t="str">
        <f>IFERROR(IF(V67="Probabilidad",(N67-(+N67*Y67)),IF(V67="Impacto",N67,"")),"")</f>
        <v/>
      </c>
      <c r="AD67" s="177" t="str">
        <f>IFERROR(IF(AC67="","",IF(AC67&lt;=0.2,"Muy Baja",IF(AC67&lt;=0.4,"Baja",IF(AC67&lt;=0.6,"Media",IF(AC67&lt;=0.8,"Alta","Muy Alta"))))),"")</f>
        <v/>
      </c>
      <c r="AE67" s="178" t="str">
        <f>+AC67</f>
        <v/>
      </c>
      <c r="AF67" s="177" t="str">
        <f>IFERROR(IF(AG67="","",IF(AG67&lt;=0.2,"Leve",IF(AG67&lt;=0.4,"Menor",IF(AG67&lt;=0.6,"Moderado",IF(AG67&lt;=0.8,"Mayor","Catastrófico"))))),"")</f>
        <v/>
      </c>
      <c r="AG67" s="178" t="str">
        <f>IFERROR(IF(V67="Impacto",(R67-(+R67*Y67)),IF(V67="Probabilidad",R67,"")),"")</f>
        <v/>
      </c>
      <c r="AH67" s="179" t="str">
        <f>IFERROR(IF(OR(AND(AD67="Muy Baja",AF67="Leve"),AND(AD67="Muy Baja",AF67="Menor"),AND(AD67="Baja",AF67="Leve")),"Bajo",IF(OR(AND(AD67="Muy baja",AF67="Moderado"),AND(AD67="Baja",AF67="Menor"),AND(AD67="Baja",AF67="Moderado"),AND(AD67="Media",AF67="Leve"),AND(AD67="Media",AF67="Menor"),AND(AD67="Media",AF67="Moderado"),AND(AD67="Alta",AF67="Leve"),AND(AD67="Alta",AF67="Menor")),"Moderado",IF(OR(AND(AD67="Muy Baja",AF67="Mayor"),AND(AD67="Baja",AF67="Mayor"),AND(AD67="Media",AF67="Mayor"),AND(AD67="Alta",AF67="Moderado"),AND(AD67="Alta",AF67="Mayor"),AND(AD67="Muy Alta",AF67="Leve"),AND(AD67="Muy Alta",AF67="Menor"),AND(AD67="Muy Alta",AF67="Moderado"),AND(AD67="Muy Alta",AF67="Mayor")),"Alto",IF(OR(AND(AD67="Muy Baja",AF67="Catastrófico"),AND(AD67="Baja",AF67="Catastrófico"),AND(AD67="Media",AF67="Catastrófico"),AND(AD67="Alta",AF67="Catastrófico"),AND(AD67="Muy Alta",AF67="Catastrófico")),"Extremo","")))),"")</f>
        <v/>
      </c>
      <c r="AI67" s="180"/>
      <c r="AJ67" s="172"/>
      <c r="AK67" s="329"/>
      <c r="AL67" s="335"/>
      <c r="AM67" s="332"/>
      <c r="AN67" s="319"/>
      <c r="AO67" s="31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row>
    <row r="68" spans="1:73" s="169" customFormat="1" ht="70.5" hidden="1" customHeight="1" x14ac:dyDescent="0.2">
      <c r="A68" s="365"/>
      <c r="B68" s="351"/>
      <c r="C68" s="351"/>
      <c r="D68" s="381"/>
      <c r="E68" s="381"/>
      <c r="F68" s="381"/>
      <c r="G68" s="349"/>
      <c r="H68" s="349"/>
      <c r="I68" s="353"/>
      <c r="J68" s="339"/>
      <c r="K68" s="344"/>
      <c r="L68" s="345"/>
      <c r="M68" s="343"/>
      <c r="N68" s="342"/>
      <c r="O68" s="347"/>
      <c r="P68" s="342">
        <f>IF(NOT(ISERROR(MATCH(O68,_xlfn.ANCHORARRAY(I79),0))),N81&amp;"Por favor no seleccionar los criterios de impacto",O68)</f>
        <v>0</v>
      </c>
      <c r="Q68" s="343"/>
      <c r="R68" s="342"/>
      <c r="S68" s="346"/>
      <c r="T68" s="171">
        <v>2</v>
      </c>
      <c r="U68" s="182"/>
      <c r="V68" s="173" t="str">
        <f>IF(OR(W68="Preventivo",W68="Detectivo"),"Probabilidad",IF(W68="Correctivo","Impacto",""))</f>
        <v/>
      </c>
      <c r="W68" s="174"/>
      <c r="X68" s="174"/>
      <c r="Y68" s="175" t="str">
        <f t="shared" ref="Y68:Y72" si="64">IF(AND(W68="Preventivo",X68="Automático"),"50%",IF(AND(W68="Preventivo",X68="Manual"),"40%",IF(AND(W68="Detectivo",X68="Automático"),"40%",IF(AND(W68="Detectivo",X68="Manual"),"30%",IF(AND(W68="Correctivo",X68="Automático"),"35%",IF(AND(W68="Correctivo",X68="Manual"),"25%",""))))))</f>
        <v/>
      </c>
      <c r="Z68" s="174"/>
      <c r="AA68" s="174"/>
      <c r="AB68" s="174"/>
      <c r="AC68" s="176" t="str">
        <f>IFERROR(IF(AND(V67="Probabilidad",V68="Probabilidad"),(AE67-(+AE67*Y68)),IF(V68="Probabilidad",(N67-(+N67*Y68)),IF(V68="Impacto",AE67,""))),"")</f>
        <v/>
      </c>
      <c r="AD68" s="177" t="str">
        <f t="shared" si="1"/>
        <v/>
      </c>
      <c r="AE68" s="178" t="str">
        <f t="shared" ref="AE68:AE72" si="65">+AC68</f>
        <v/>
      </c>
      <c r="AF68" s="177" t="str">
        <f t="shared" si="3"/>
        <v/>
      </c>
      <c r="AG68" s="178" t="str">
        <f>IFERROR(IF(AND(V67="Impacto",V68="Impacto"),(AG67-(+AG67*Y68)),IF(V68="Impacto",(R67-(+R67*Y68)),IF(V68="Probabilidad",AG67,""))),"")</f>
        <v/>
      </c>
      <c r="AH68" s="179" t="str">
        <f t="shared" ref="AH68:AH69" si="66">IFERROR(IF(OR(AND(AD68="Muy Baja",AF68="Leve"),AND(AD68="Muy Baja",AF68="Menor"),AND(AD68="Baja",AF68="Leve")),"Bajo",IF(OR(AND(AD68="Muy baja",AF68="Moderado"),AND(AD68="Baja",AF68="Menor"),AND(AD68="Baja",AF68="Moderado"),AND(AD68="Media",AF68="Leve"),AND(AD68="Media",AF68="Menor"),AND(AD68="Media",AF68="Moderado"),AND(AD68="Alta",AF68="Leve"),AND(AD68="Alta",AF68="Menor")),"Moderado",IF(OR(AND(AD68="Muy Baja",AF68="Mayor"),AND(AD68="Baja",AF68="Mayor"),AND(AD68="Media",AF68="Mayor"),AND(AD68="Alta",AF68="Moderado"),AND(AD68="Alta",AF68="Mayor"),AND(AD68="Muy Alta",AF68="Leve"),AND(AD68="Muy Alta",AF68="Menor"),AND(AD68="Muy Alta",AF68="Moderado"),AND(AD68="Muy Alta",AF68="Mayor")),"Alto",IF(OR(AND(AD68="Muy Baja",AF68="Catastrófico"),AND(AD68="Baja",AF68="Catastrófico"),AND(AD68="Media",AF68="Catastrófico"),AND(AD68="Alta",AF68="Catastrófico"),AND(AD68="Muy Alta",AF68="Catastrófico")),"Extremo","")))),"")</f>
        <v/>
      </c>
      <c r="AI68" s="180"/>
      <c r="AJ68" s="172"/>
      <c r="AK68" s="326"/>
      <c r="AL68" s="336"/>
      <c r="AM68" s="333"/>
      <c r="AN68" s="320"/>
      <c r="AO68" s="320"/>
    </row>
    <row r="69" spans="1:73" s="169" customFormat="1" ht="70.5" hidden="1" customHeight="1" x14ac:dyDescent="0.2">
      <c r="A69" s="365"/>
      <c r="B69" s="351"/>
      <c r="C69" s="351"/>
      <c r="D69" s="381"/>
      <c r="E69" s="381"/>
      <c r="F69" s="381"/>
      <c r="G69" s="349"/>
      <c r="H69" s="349"/>
      <c r="I69" s="353"/>
      <c r="J69" s="339"/>
      <c r="K69" s="344"/>
      <c r="L69" s="345"/>
      <c r="M69" s="343"/>
      <c r="N69" s="342"/>
      <c r="O69" s="347"/>
      <c r="P69" s="342">
        <f>IF(NOT(ISERROR(MATCH(O69,_xlfn.ANCHORARRAY(I80),0))),N82&amp;"Por favor no seleccionar los criterios de impacto",O69)</f>
        <v>0</v>
      </c>
      <c r="Q69" s="343"/>
      <c r="R69" s="342"/>
      <c r="S69" s="346"/>
      <c r="T69" s="171">
        <v>3</v>
      </c>
      <c r="U69" s="186"/>
      <c r="V69" s="173" t="str">
        <f>IF(OR(W69="Preventivo",W69="Detectivo"),"Probabilidad",IF(W69="Correctivo","Impacto",""))</f>
        <v/>
      </c>
      <c r="W69" s="174"/>
      <c r="X69" s="174"/>
      <c r="Y69" s="175" t="str">
        <f t="shared" si="64"/>
        <v/>
      </c>
      <c r="Z69" s="174"/>
      <c r="AA69" s="174"/>
      <c r="AB69" s="174"/>
      <c r="AC69" s="176" t="str">
        <f>IFERROR(IF(AND(V68="Probabilidad",V69="Probabilidad"),(AE68-(+AE68*Y69)),IF(AND(V68="Impacto",V69="Probabilidad"),(AE67-(+AE67*Y69)),IF(V69="Impacto",AE68,""))),"")</f>
        <v/>
      </c>
      <c r="AD69" s="177" t="str">
        <f t="shared" si="1"/>
        <v/>
      </c>
      <c r="AE69" s="178" t="str">
        <f t="shared" si="65"/>
        <v/>
      </c>
      <c r="AF69" s="177" t="str">
        <f t="shared" si="3"/>
        <v/>
      </c>
      <c r="AG69" s="178" t="str">
        <f>IFERROR(IF(AND(V68="Impacto",V69="Impacto"),(AG68-(+AG68*Y69)),IF(AND(V68="Probabilidad",V69="Impacto"),(AG67-(+AG67*Y69)),IF(V69="Probabilidad",AG68,""))),"")</f>
        <v/>
      </c>
      <c r="AH69" s="179" t="str">
        <f t="shared" si="66"/>
        <v/>
      </c>
      <c r="AI69" s="180"/>
      <c r="AJ69" s="172"/>
      <c r="AK69" s="326"/>
      <c r="AL69" s="336"/>
      <c r="AM69" s="333"/>
      <c r="AN69" s="320"/>
      <c r="AO69" s="320"/>
    </row>
    <row r="70" spans="1:73" s="169" customFormat="1" ht="70.5" hidden="1" customHeight="1" x14ac:dyDescent="0.2">
      <c r="A70" s="365"/>
      <c r="B70" s="351"/>
      <c r="C70" s="351"/>
      <c r="D70" s="381"/>
      <c r="E70" s="381"/>
      <c r="F70" s="381"/>
      <c r="G70" s="349"/>
      <c r="H70" s="349"/>
      <c r="I70" s="353"/>
      <c r="J70" s="339"/>
      <c r="K70" s="344"/>
      <c r="L70" s="345"/>
      <c r="M70" s="343"/>
      <c r="N70" s="342"/>
      <c r="O70" s="347"/>
      <c r="P70" s="342">
        <f>IF(NOT(ISERROR(MATCH(O70,_xlfn.ANCHORARRAY(I81),0))),N83&amp;"Por favor no seleccionar los criterios de impacto",O70)</f>
        <v>0</v>
      </c>
      <c r="Q70" s="343"/>
      <c r="R70" s="342"/>
      <c r="S70" s="346"/>
      <c r="T70" s="171">
        <v>4</v>
      </c>
      <c r="U70" s="182"/>
      <c r="V70" s="173" t="str">
        <f t="shared" ref="V70:V72" si="67">IF(OR(W70="Preventivo",W70="Detectivo"),"Probabilidad",IF(W70="Correctivo","Impacto",""))</f>
        <v/>
      </c>
      <c r="W70" s="174"/>
      <c r="X70" s="174"/>
      <c r="Y70" s="175" t="str">
        <f t="shared" si="64"/>
        <v/>
      </c>
      <c r="Z70" s="174"/>
      <c r="AA70" s="174"/>
      <c r="AB70" s="174"/>
      <c r="AC70" s="176" t="str">
        <f t="shared" ref="AC70:AC72" si="68">IFERROR(IF(AND(V69="Probabilidad",V70="Probabilidad"),(AE69-(+AE69*Y70)),IF(AND(V69="Impacto",V70="Probabilidad"),(AE68-(+AE68*Y70)),IF(V70="Impacto",AE69,""))),"")</f>
        <v/>
      </c>
      <c r="AD70" s="177" t="str">
        <f t="shared" si="1"/>
        <v/>
      </c>
      <c r="AE70" s="178" t="str">
        <f t="shared" si="65"/>
        <v/>
      </c>
      <c r="AF70" s="177" t="str">
        <f t="shared" si="3"/>
        <v/>
      </c>
      <c r="AG70" s="178" t="str">
        <f t="shared" ref="AG70:AG72" si="69">IFERROR(IF(AND(V69="Impacto",V70="Impacto"),(AG69-(+AG69*Y70)),IF(AND(V69="Probabilidad",V70="Impacto"),(AG68-(+AG68*Y70)),IF(V70="Probabilidad",AG69,""))),"")</f>
        <v/>
      </c>
      <c r="AH70" s="179" t="str">
        <f>IFERROR(IF(OR(AND(AD70="Muy Baja",AF70="Leve"),AND(AD70="Muy Baja",AF70="Menor"),AND(AD70="Baja",AF70="Leve")),"Bajo",IF(OR(AND(AD70="Muy baja",AF70="Moderado"),AND(AD70="Baja",AF70="Menor"),AND(AD70="Baja",AF70="Moderado"),AND(AD70="Media",AF70="Leve"),AND(AD70="Media",AF70="Menor"),AND(AD70="Media",AF70="Moderado"),AND(AD70="Alta",AF70="Leve"),AND(AD70="Alta",AF70="Menor")),"Moderado",IF(OR(AND(AD70="Muy Baja",AF70="Mayor"),AND(AD70="Baja",AF70="Mayor"),AND(AD70="Media",AF70="Mayor"),AND(AD70="Alta",AF70="Moderado"),AND(AD70="Alta",AF70="Mayor"),AND(AD70="Muy Alta",AF70="Leve"),AND(AD70="Muy Alta",AF70="Menor"),AND(AD70="Muy Alta",AF70="Moderado"),AND(AD70="Muy Alta",AF70="Mayor")),"Alto",IF(OR(AND(AD70="Muy Baja",AF70="Catastrófico"),AND(AD70="Baja",AF70="Catastrófico"),AND(AD70="Media",AF70="Catastrófico"),AND(AD70="Alta",AF70="Catastrófico"),AND(AD70="Muy Alta",AF70="Catastrófico")),"Extremo","")))),"")</f>
        <v/>
      </c>
      <c r="AI70" s="180"/>
      <c r="AJ70" s="183"/>
      <c r="AK70" s="326"/>
      <c r="AL70" s="336"/>
      <c r="AM70" s="333"/>
      <c r="AN70" s="320"/>
      <c r="AO70" s="320"/>
    </row>
    <row r="71" spans="1:73" s="169" customFormat="1" ht="70.5" hidden="1" customHeight="1" x14ac:dyDescent="0.2">
      <c r="A71" s="365"/>
      <c r="B71" s="351"/>
      <c r="C71" s="351"/>
      <c r="D71" s="381"/>
      <c r="E71" s="381"/>
      <c r="F71" s="381"/>
      <c r="G71" s="349"/>
      <c r="H71" s="349"/>
      <c r="I71" s="353"/>
      <c r="J71" s="339"/>
      <c r="K71" s="344"/>
      <c r="L71" s="345"/>
      <c r="M71" s="343"/>
      <c r="N71" s="342"/>
      <c r="O71" s="347"/>
      <c r="P71" s="342">
        <f>IF(NOT(ISERROR(MATCH(O71,_xlfn.ANCHORARRAY(I82),0))),N84&amp;"Por favor no seleccionar los criterios de impacto",O71)</f>
        <v>0</v>
      </c>
      <c r="Q71" s="343"/>
      <c r="R71" s="342"/>
      <c r="S71" s="346"/>
      <c r="T71" s="171">
        <v>5</v>
      </c>
      <c r="U71" s="182"/>
      <c r="V71" s="173" t="str">
        <f t="shared" si="67"/>
        <v/>
      </c>
      <c r="W71" s="174"/>
      <c r="X71" s="174"/>
      <c r="Y71" s="175" t="str">
        <f t="shared" si="64"/>
        <v/>
      </c>
      <c r="Z71" s="174"/>
      <c r="AA71" s="174"/>
      <c r="AB71" s="174"/>
      <c r="AC71" s="176" t="str">
        <f t="shared" si="68"/>
        <v/>
      </c>
      <c r="AD71" s="177" t="str">
        <f t="shared" si="1"/>
        <v/>
      </c>
      <c r="AE71" s="178" t="str">
        <f t="shared" si="65"/>
        <v/>
      </c>
      <c r="AF71" s="177" t="str">
        <f t="shared" si="3"/>
        <v/>
      </c>
      <c r="AG71" s="178" t="str">
        <f t="shared" si="69"/>
        <v/>
      </c>
      <c r="AH71" s="179" t="str">
        <f t="shared" ref="AH71:AH72" si="70">IFERROR(IF(OR(AND(AD71="Muy Baja",AF71="Leve"),AND(AD71="Muy Baja",AF71="Menor"),AND(AD71="Baja",AF71="Leve")),"Bajo",IF(OR(AND(AD71="Muy baja",AF71="Moderado"),AND(AD71="Baja",AF71="Menor"),AND(AD71="Baja",AF71="Moderado"),AND(AD71="Media",AF71="Leve"),AND(AD71="Media",AF71="Menor"),AND(AD71="Media",AF71="Moderado"),AND(AD71="Alta",AF71="Leve"),AND(AD71="Alta",AF71="Menor")),"Moderado",IF(OR(AND(AD71="Muy Baja",AF71="Mayor"),AND(AD71="Baja",AF71="Mayor"),AND(AD71="Media",AF71="Mayor"),AND(AD71="Alta",AF71="Moderado"),AND(AD71="Alta",AF71="Mayor"),AND(AD71="Muy Alta",AF71="Leve"),AND(AD71="Muy Alta",AF71="Menor"),AND(AD71="Muy Alta",AF71="Moderado"),AND(AD71="Muy Alta",AF71="Mayor")),"Alto",IF(OR(AND(AD71="Muy Baja",AF71="Catastrófico"),AND(AD71="Baja",AF71="Catastrófico"),AND(AD71="Media",AF71="Catastrófico"),AND(AD71="Alta",AF71="Catastrófico"),AND(AD71="Muy Alta",AF71="Catastrófico")),"Extremo","")))),"")</f>
        <v/>
      </c>
      <c r="AI71" s="180"/>
      <c r="AJ71" s="183"/>
      <c r="AK71" s="326"/>
      <c r="AL71" s="336"/>
      <c r="AM71" s="333"/>
      <c r="AN71" s="320"/>
      <c r="AO71" s="320"/>
    </row>
    <row r="72" spans="1:73" s="169" customFormat="1" ht="70.5" hidden="1" customHeight="1" x14ac:dyDescent="0.2">
      <c r="A72" s="365"/>
      <c r="B72" s="351"/>
      <c r="C72" s="351"/>
      <c r="D72" s="381"/>
      <c r="E72" s="381"/>
      <c r="F72" s="381"/>
      <c r="G72" s="350"/>
      <c r="H72" s="350"/>
      <c r="I72" s="353"/>
      <c r="J72" s="340"/>
      <c r="K72" s="344"/>
      <c r="L72" s="345"/>
      <c r="M72" s="343"/>
      <c r="N72" s="342"/>
      <c r="O72" s="347"/>
      <c r="P72" s="342">
        <f>IF(NOT(ISERROR(MATCH(O72,_xlfn.ANCHORARRAY(I83),0))),N85&amp;"Por favor no seleccionar los criterios de impacto",O72)</f>
        <v>0</v>
      </c>
      <c r="Q72" s="343"/>
      <c r="R72" s="342"/>
      <c r="S72" s="346"/>
      <c r="T72" s="171">
        <v>6</v>
      </c>
      <c r="U72" s="182"/>
      <c r="V72" s="173" t="str">
        <f t="shared" si="67"/>
        <v/>
      </c>
      <c r="W72" s="174"/>
      <c r="X72" s="174"/>
      <c r="Y72" s="175" t="str">
        <f t="shared" si="64"/>
        <v/>
      </c>
      <c r="Z72" s="174"/>
      <c r="AA72" s="174"/>
      <c r="AB72" s="174"/>
      <c r="AC72" s="176" t="str">
        <f t="shared" si="68"/>
        <v/>
      </c>
      <c r="AD72" s="177" t="str">
        <f t="shared" si="1"/>
        <v/>
      </c>
      <c r="AE72" s="178" t="str">
        <f t="shared" si="65"/>
        <v/>
      </c>
      <c r="AF72" s="177" t="str">
        <f t="shared" si="3"/>
        <v/>
      </c>
      <c r="AG72" s="178" t="str">
        <f t="shared" si="69"/>
        <v/>
      </c>
      <c r="AH72" s="179" t="str">
        <f t="shared" si="70"/>
        <v/>
      </c>
      <c r="AI72" s="180"/>
      <c r="AJ72" s="183"/>
      <c r="AK72" s="327"/>
      <c r="AL72" s="337"/>
      <c r="AM72" s="334"/>
      <c r="AN72" s="321"/>
      <c r="AO72" s="321"/>
    </row>
    <row r="73" spans="1:73" ht="49.5" customHeight="1" x14ac:dyDescent="0.2">
      <c r="A73" s="115"/>
      <c r="B73" s="116"/>
      <c r="C73" s="138"/>
      <c r="D73" s="378" t="s">
        <v>219</v>
      </c>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80"/>
    </row>
    <row r="75" spans="1:73" x14ac:dyDescent="0.2">
      <c r="A75" s="114"/>
      <c r="B75" s="109"/>
      <c r="C75" s="140"/>
      <c r="D75" s="119" t="s">
        <v>142</v>
      </c>
      <c r="E75" s="109"/>
      <c r="F75" s="109"/>
      <c r="G75" s="109"/>
      <c r="H75" s="109"/>
      <c r="K75" s="109"/>
    </row>
  </sheetData>
  <dataConsolidate/>
  <mergeCells count="313">
    <mergeCell ref="U4:AO4"/>
    <mergeCell ref="E4:F4"/>
    <mergeCell ref="E3:F3"/>
    <mergeCell ref="U2:AO2"/>
    <mergeCell ref="U1:AO1"/>
    <mergeCell ref="E1:F1"/>
    <mergeCell ref="E2:F2"/>
    <mergeCell ref="G1:J1"/>
    <mergeCell ref="G2:J2"/>
    <mergeCell ref="G3:J3"/>
    <mergeCell ref="G4:J4"/>
    <mergeCell ref="AN13:AN18"/>
    <mergeCell ref="AO13:AO18"/>
    <mergeCell ref="AP13:AP18"/>
    <mergeCell ref="AP11:AP12"/>
    <mergeCell ref="J13:J18"/>
    <mergeCell ref="Q13:Q18"/>
    <mergeCell ref="R13:R18"/>
    <mergeCell ref="AK13:AK18"/>
    <mergeCell ref="AL13:AL18"/>
    <mergeCell ref="AM13:AM18"/>
    <mergeCell ref="K13:K18"/>
    <mergeCell ref="L13:L18"/>
    <mergeCell ref="M13:M18"/>
    <mergeCell ref="L11:L12"/>
    <mergeCell ref="M11:M12"/>
    <mergeCell ref="N11:N12"/>
    <mergeCell ref="Q11:Q12"/>
    <mergeCell ref="R11:R12"/>
    <mergeCell ref="AJ11:AJ12"/>
    <mergeCell ref="K11:K12"/>
    <mergeCell ref="S13:S18"/>
    <mergeCell ref="N13:N18"/>
    <mergeCell ref="O13:O18"/>
    <mergeCell ref="P13:P18"/>
    <mergeCell ref="AJ13:AJ18"/>
    <mergeCell ref="C11:C12"/>
    <mergeCell ref="H11:H12"/>
    <mergeCell ref="D11:D12"/>
    <mergeCell ref="S11:S12"/>
    <mergeCell ref="O11:O12"/>
    <mergeCell ref="P11:P12"/>
    <mergeCell ref="E11:E12"/>
    <mergeCell ref="AI11:AI12"/>
    <mergeCell ref="T11:T12"/>
    <mergeCell ref="AH11:AH12"/>
    <mergeCell ref="AG11:AG12"/>
    <mergeCell ref="AC11:AC12"/>
    <mergeCell ref="U11:U12"/>
    <mergeCell ref="AF11:AF12"/>
    <mergeCell ref="AD11:AD12"/>
    <mergeCell ref="I11:I12"/>
    <mergeCell ref="F11:F12"/>
    <mergeCell ref="V11:V12"/>
    <mergeCell ref="W11:AB11"/>
    <mergeCell ref="A19:A24"/>
    <mergeCell ref="D19:D24"/>
    <mergeCell ref="E19:E24"/>
    <mergeCell ref="F19:F24"/>
    <mergeCell ref="I19:I24"/>
    <mergeCell ref="A13:A18"/>
    <mergeCell ref="D13:D18"/>
    <mergeCell ref="E13:E18"/>
    <mergeCell ref="F13:F18"/>
    <mergeCell ref="I13:I18"/>
    <mergeCell ref="B13:B18"/>
    <mergeCell ref="C13:C18"/>
    <mergeCell ref="H13:H18"/>
    <mergeCell ref="G13:G18"/>
    <mergeCell ref="A25:A30"/>
    <mergeCell ref="D25:D30"/>
    <mergeCell ref="E25:E30"/>
    <mergeCell ref="F25:F30"/>
    <mergeCell ref="I25:I30"/>
    <mergeCell ref="K25:K30"/>
    <mergeCell ref="L25:L30"/>
    <mergeCell ref="M25:M30"/>
    <mergeCell ref="N25:N30"/>
    <mergeCell ref="J25:J30"/>
    <mergeCell ref="O31:O36"/>
    <mergeCell ref="P31:P36"/>
    <mergeCell ref="Q31:Q36"/>
    <mergeCell ref="R31:R36"/>
    <mergeCell ref="S31:S36"/>
    <mergeCell ref="B31:B36"/>
    <mergeCell ref="C31:C36"/>
    <mergeCell ref="J31:J36"/>
    <mergeCell ref="P19:P24"/>
    <mergeCell ref="Q19:Q24"/>
    <mergeCell ref="R19:R24"/>
    <mergeCell ref="S19:S24"/>
    <mergeCell ref="O25:O30"/>
    <mergeCell ref="P25:P30"/>
    <mergeCell ref="Q25:Q30"/>
    <mergeCell ref="K19:K24"/>
    <mergeCell ref="L19:L24"/>
    <mergeCell ref="M19:M24"/>
    <mergeCell ref="N19:N24"/>
    <mergeCell ref="O19:O24"/>
    <mergeCell ref="J19:J24"/>
    <mergeCell ref="C19:C24"/>
    <mergeCell ref="B25:B30"/>
    <mergeCell ref="C25:C30"/>
    <mergeCell ref="A31:A36"/>
    <mergeCell ref="D31:D36"/>
    <mergeCell ref="E31:E36"/>
    <mergeCell ref="F31:F36"/>
    <mergeCell ref="I31:I36"/>
    <mergeCell ref="K31:K36"/>
    <mergeCell ref="L31:L36"/>
    <mergeCell ref="M31:M36"/>
    <mergeCell ref="N31:N36"/>
    <mergeCell ref="A37:A42"/>
    <mergeCell ref="D37:D42"/>
    <mergeCell ref="E37:E42"/>
    <mergeCell ref="A43:A48"/>
    <mergeCell ref="D43:D48"/>
    <mergeCell ref="E43:E48"/>
    <mergeCell ref="F43:F48"/>
    <mergeCell ref="I43:I48"/>
    <mergeCell ref="K43:K48"/>
    <mergeCell ref="F37:F42"/>
    <mergeCell ref="I37:I42"/>
    <mergeCell ref="K37:K42"/>
    <mergeCell ref="J37:J42"/>
    <mergeCell ref="J43:J48"/>
    <mergeCell ref="C37:C42"/>
    <mergeCell ref="B43:B48"/>
    <mergeCell ref="C43:C48"/>
    <mergeCell ref="A55:A60"/>
    <mergeCell ref="D55:D60"/>
    <mergeCell ref="E55:E60"/>
    <mergeCell ref="F55:F60"/>
    <mergeCell ref="I55:I60"/>
    <mergeCell ref="A49:A54"/>
    <mergeCell ref="D49:D54"/>
    <mergeCell ref="E49:E54"/>
    <mergeCell ref="F49:F54"/>
    <mergeCell ref="I49:I54"/>
    <mergeCell ref="B49:B54"/>
    <mergeCell ref="C49:C54"/>
    <mergeCell ref="B55:B60"/>
    <mergeCell ref="C55:C60"/>
    <mergeCell ref="G49:G54"/>
    <mergeCell ref="G55:G60"/>
    <mergeCell ref="R37:R42"/>
    <mergeCell ref="S37:S42"/>
    <mergeCell ref="R43:R48"/>
    <mergeCell ref="S43:S48"/>
    <mergeCell ref="O43:O48"/>
    <mergeCell ref="P43:P48"/>
    <mergeCell ref="Q43:Q48"/>
    <mergeCell ref="L37:L42"/>
    <mergeCell ref="M37:M42"/>
    <mergeCell ref="O37:O42"/>
    <mergeCell ref="P37:P42"/>
    <mergeCell ref="Q37:Q42"/>
    <mergeCell ref="D73:AO73"/>
    <mergeCell ref="R61:R66"/>
    <mergeCell ref="S61:S66"/>
    <mergeCell ref="A67:A72"/>
    <mergeCell ref="D67:D72"/>
    <mergeCell ref="E67:E72"/>
    <mergeCell ref="F67:F72"/>
    <mergeCell ref="I67:I72"/>
    <mergeCell ref="K67:K72"/>
    <mergeCell ref="L67:L72"/>
    <mergeCell ref="M67:M72"/>
    <mergeCell ref="N67:N72"/>
    <mergeCell ref="O67:O72"/>
    <mergeCell ref="P67:P72"/>
    <mergeCell ref="Q67:Q72"/>
    <mergeCell ref="R67:R72"/>
    <mergeCell ref="S67:S72"/>
    <mergeCell ref="O61:O66"/>
    <mergeCell ref="P61:P66"/>
    <mergeCell ref="Q61:Q66"/>
    <mergeCell ref="A61:A66"/>
    <mergeCell ref="D61:D66"/>
    <mergeCell ref="E61:E66"/>
    <mergeCell ref="F61:F66"/>
    <mergeCell ref="A1:D4"/>
    <mergeCell ref="G11:G12"/>
    <mergeCell ref="J11:J12"/>
    <mergeCell ref="E7:S7"/>
    <mergeCell ref="T7:V7"/>
    <mergeCell ref="A5:AO5"/>
    <mergeCell ref="A10:L10"/>
    <mergeCell ref="M10:S10"/>
    <mergeCell ref="T10:AB10"/>
    <mergeCell ref="AC10:AI10"/>
    <mergeCell ref="AJ10:AO10"/>
    <mergeCell ref="A7:D7"/>
    <mergeCell ref="A8:D8"/>
    <mergeCell ref="A9:D9"/>
    <mergeCell ref="E8:S8"/>
    <mergeCell ref="E9:S9"/>
    <mergeCell ref="AE11:AE12"/>
    <mergeCell ref="AO11:AO12"/>
    <mergeCell ref="AN11:AN12"/>
    <mergeCell ref="AM11:AM12"/>
    <mergeCell ref="AL11:AL12"/>
    <mergeCell ref="AK11:AK12"/>
    <mergeCell ref="A11:A12"/>
    <mergeCell ref="B11:B12"/>
    <mergeCell ref="R25:R30"/>
    <mergeCell ref="S25:S30"/>
    <mergeCell ref="AK25:AK30"/>
    <mergeCell ref="AL25:AL30"/>
    <mergeCell ref="AM25:AM30"/>
    <mergeCell ref="AJ19:AJ24"/>
    <mergeCell ref="AJ25:AJ30"/>
    <mergeCell ref="AK19:AK24"/>
    <mergeCell ref="B67:B72"/>
    <mergeCell ref="C67:C72"/>
    <mergeCell ref="H19:H24"/>
    <mergeCell ref="H25:H30"/>
    <mergeCell ref="H31:H36"/>
    <mergeCell ref="H37:H42"/>
    <mergeCell ref="H43:H48"/>
    <mergeCell ref="H49:H54"/>
    <mergeCell ref="H55:H60"/>
    <mergeCell ref="H61:H66"/>
    <mergeCell ref="H67:H72"/>
    <mergeCell ref="G19:G24"/>
    <mergeCell ref="G25:G30"/>
    <mergeCell ref="G31:G36"/>
    <mergeCell ref="G37:G42"/>
    <mergeCell ref="G43:G48"/>
    <mergeCell ref="G61:G66"/>
    <mergeCell ref="G67:G72"/>
    <mergeCell ref="B37:B42"/>
    <mergeCell ref="B61:B66"/>
    <mergeCell ref="C61:C66"/>
    <mergeCell ref="B19:B24"/>
    <mergeCell ref="N37:N42"/>
    <mergeCell ref="I61:I66"/>
    <mergeCell ref="M61:M66"/>
    <mergeCell ref="N61:N66"/>
    <mergeCell ref="L43:L48"/>
    <mergeCell ref="M43:M48"/>
    <mergeCell ref="N43:N48"/>
    <mergeCell ref="R49:R54"/>
    <mergeCell ref="S49:S54"/>
    <mergeCell ref="K55:K60"/>
    <mergeCell ref="L55:L60"/>
    <mergeCell ref="M55:M60"/>
    <mergeCell ref="N55:N60"/>
    <mergeCell ref="O55:O60"/>
    <mergeCell ref="K49:K54"/>
    <mergeCell ref="L49:L54"/>
    <mergeCell ref="M49:M54"/>
    <mergeCell ref="S55:S60"/>
    <mergeCell ref="O49:O54"/>
    <mergeCell ref="P49:P54"/>
    <mergeCell ref="Q49:Q54"/>
    <mergeCell ref="AK67:AK72"/>
    <mergeCell ref="AL31:AL36"/>
    <mergeCell ref="AL37:AL42"/>
    <mergeCell ref="AL43:AL48"/>
    <mergeCell ref="AL49:AL54"/>
    <mergeCell ref="AL55:AL60"/>
    <mergeCell ref="AL61:AL66"/>
    <mergeCell ref="AL67:AL72"/>
    <mergeCell ref="J67:J72"/>
    <mergeCell ref="AK31:AK36"/>
    <mergeCell ref="AK37:AK42"/>
    <mergeCell ref="J49:J54"/>
    <mergeCell ref="J55:J60"/>
    <mergeCell ref="J61:J66"/>
    <mergeCell ref="N49:N54"/>
    <mergeCell ref="P55:P60"/>
    <mergeCell ref="Q55:Q60"/>
    <mergeCell ref="R55:R60"/>
    <mergeCell ref="AK43:AK48"/>
    <mergeCell ref="AK49:AK54"/>
    <mergeCell ref="AK55:AK60"/>
    <mergeCell ref="AK61:AK66"/>
    <mergeCell ref="K61:K66"/>
    <mergeCell ref="L61:L66"/>
    <mergeCell ref="AO49:AO54"/>
    <mergeCell ref="AO55:AO60"/>
    <mergeCell ref="AO61:AO66"/>
    <mergeCell ref="AO67:AO72"/>
    <mergeCell ref="AM31:AM36"/>
    <mergeCell ref="AM37:AM42"/>
    <mergeCell ref="AM43:AM48"/>
    <mergeCell ref="AM49:AM54"/>
    <mergeCell ref="AM55:AM60"/>
    <mergeCell ref="AM61:AM66"/>
    <mergeCell ref="AM67:AM72"/>
    <mergeCell ref="AN31:AN36"/>
    <mergeCell ref="AN37:AN42"/>
    <mergeCell ref="AN43:AN48"/>
    <mergeCell ref="AN49:AN54"/>
    <mergeCell ref="AN55:AN60"/>
    <mergeCell ref="AN61:AN66"/>
    <mergeCell ref="AN67:AN72"/>
    <mergeCell ref="AP19:AP24"/>
    <mergeCell ref="AP25:AP30"/>
    <mergeCell ref="AP31:AP36"/>
    <mergeCell ref="AP37:AP42"/>
    <mergeCell ref="AJ31:AJ36"/>
    <mergeCell ref="AJ37:AJ42"/>
    <mergeCell ref="AO31:AO36"/>
    <mergeCell ref="AO37:AO42"/>
    <mergeCell ref="AO43:AO48"/>
    <mergeCell ref="AN19:AN24"/>
    <mergeCell ref="AO19:AO24"/>
    <mergeCell ref="AN25:AN30"/>
    <mergeCell ref="AO25:AO30"/>
    <mergeCell ref="AL19:AL24"/>
    <mergeCell ref="AM19:AM24"/>
  </mergeCells>
  <conditionalFormatting sqref="M13 M19">
    <cfRule type="cellIs" dxfId="237" priority="319" operator="equal">
      <formula>"Muy Alta"</formula>
    </cfRule>
    <cfRule type="cellIs" dxfId="236" priority="320" operator="equal">
      <formula>"Alta"</formula>
    </cfRule>
    <cfRule type="cellIs" dxfId="235" priority="321" operator="equal">
      <formula>"Media"</formula>
    </cfRule>
    <cfRule type="cellIs" dxfId="234" priority="322" operator="equal">
      <formula>"Baja"</formula>
    </cfRule>
    <cfRule type="cellIs" dxfId="233" priority="323" operator="equal">
      <formula>"Muy Baja"</formula>
    </cfRule>
  </conditionalFormatting>
  <conditionalFormatting sqref="Q13 Q19 Q25 Q31 Q37 Q43 Q49 Q55 Q61 Q67">
    <cfRule type="cellIs" dxfId="232" priority="314" operator="equal">
      <formula>"Catastrófico"</formula>
    </cfRule>
    <cfRule type="cellIs" dxfId="231" priority="315" operator="equal">
      <formula>"Mayor"</formula>
    </cfRule>
    <cfRule type="cellIs" dxfId="230" priority="316" operator="equal">
      <formula>"Moderado"</formula>
    </cfRule>
    <cfRule type="cellIs" dxfId="229" priority="317" operator="equal">
      <formula>"Menor"</formula>
    </cfRule>
    <cfRule type="cellIs" dxfId="228" priority="318" operator="equal">
      <formula>"Leve"</formula>
    </cfRule>
  </conditionalFormatting>
  <conditionalFormatting sqref="S13">
    <cfRule type="cellIs" dxfId="227" priority="310" operator="equal">
      <formula>"Extremo"</formula>
    </cfRule>
    <cfRule type="cellIs" dxfId="226" priority="311" operator="equal">
      <formula>"Alto"</formula>
    </cfRule>
    <cfRule type="cellIs" dxfId="225" priority="312" operator="equal">
      <formula>"Moderado"</formula>
    </cfRule>
    <cfRule type="cellIs" dxfId="224" priority="313" operator="equal">
      <formula>"Bajo"</formula>
    </cfRule>
  </conditionalFormatting>
  <conditionalFormatting sqref="AD13:AD18">
    <cfRule type="cellIs" dxfId="223" priority="305" operator="equal">
      <formula>"Muy Alta"</formula>
    </cfRule>
    <cfRule type="cellIs" dxfId="222" priority="306" operator="equal">
      <formula>"Alta"</formula>
    </cfRule>
    <cfRule type="cellIs" dxfId="221" priority="307" operator="equal">
      <formula>"Media"</formula>
    </cfRule>
    <cfRule type="cellIs" dxfId="220" priority="308" operator="equal">
      <formula>"Baja"</formula>
    </cfRule>
    <cfRule type="cellIs" dxfId="219" priority="309" operator="equal">
      <formula>"Muy Baja"</formula>
    </cfRule>
  </conditionalFormatting>
  <conditionalFormatting sqref="AF13:AF18">
    <cfRule type="cellIs" dxfId="218" priority="300" operator="equal">
      <formula>"Catastrófico"</formula>
    </cfRule>
    <cfRule type="cellIs" dxfId="217" priority="301" operator="equal">
      <formula>"Mayor"</formula>
    </cfRule>
    <cfRule type="cellIs" dxfId="216" priority="302" operator="equal">
      <formula>"Moderado"</formula>
    </cfRule>
    <cfRule type="cellIs" dxfId="215" priority="303" operator="equal">
      <formula>"Menor"</formula>
    </cfRule>
    <cfRule type="cellIs" dxfId="214" priority="304" operator="equal">
      <formula>"Leve"</formula>
    </cfRule>
  </conditionalFormatting>
  <conditionalFormatting sqref="AH13:AH18">
    <cfRule type="cellIs" dxfId="213" priority="296" operator="equal">
      <formula>"Extremo"</formula>
    </cfRule>
    <cfRule type="cellIs" dxfId="212" priority="297" operator="equal">
      <formula>"Alto"</formula>
    </cfRule>
    <cfRule type="cellIs" dxfId="211" priority="298" operator="equal">
      <formula>"Moderado"</formula>
    </cfRule>
    <cfRule type="cellIs" dxfId="210" priority="299" operator="equal">
      <formula>"Bajo"</formula>
    </cfRule>
  </conditionalFormatting>
  <conditionalFormatting sqref="M61">
    <cfRule type="cellIs" dxfId="209" priority="53" operator="equal">
      <formula>"Muy Alta"</formula>
    </cfRule>
    <cfRule type="cellIs" dxfId="208" priority="54" operator="equal">
      <formula>"Alta"</formula>
    </cfRule>
    <cfRule type="cellIs" dxfId="207" priority="55" operator="equal">
      <formula>"Media"</formula>
    </cfRule>
    <cfRule type="cellIs" dxfId="206" priority="56" operator="equal">
      <formula>"Baja"</formula>
    </cfRule>
    <cfRule type="cellIs" dxfId="205" priority="57" operator="equal">
      <formula>"Muy Baja"</formula>
    </cfRule>
  </conditionalFormatting>
  <conditionalFormatting sqref="S19">
    <cfRule type="cellIs" dxfId="204" priority="240" operator="equal">
      <formula>"Extremo"</formula>
    </cfRule>
    <cfRule type="cellIs" dxfId="203" priority="241" operator="equal">
      <formula>"Alto"</formula>
    </cfRule>
    <cfRule type="cellIs" dxfId="202" priority="242" operator="equal">
      <formula>"Moderado"</formula>
    </cfRule>
    <cfRule type="cellIs" dxfId="201" priority="243" operator="equal">
      <formula>"Bajo"</formula>
    </cfRule>
  </conditionalFormatting>
  <conditionalFormatting sqref="AD19:AD24">
    <cfRule type="cellIs" dxfId="200" priority="235" operator="equal">
      <formula>"Muy Alta"</formula>
    </cfRule>
    <cfRule type="cellIs" dxfId="199" priority="236" operator="equal">
      <formula>"Alta"</formula>
    </cfRule>
    <cfRule type="cellIs" dxfId="198" priority="237" operator="equal">
      <formula>"Media"</formula>
    </cfRule>
    <cfRule type="cellIs" dxfId="197" priority="238" operator="equal">
      <formula>"Baja"</formula>
    </cfRule>
    <cfRule type="cellIs" dxfId="196" priority="239" operator="equal">
      <formula>"Muy Baja"</formula>
    </cfRule>
  </conditionalFormatting>
  <conditionalFormatting sqref="AF19:AF24">
    <cfRule type="cellIs" dxfId="195" priority="230" operator="equal">
      <formula>"Catastrófico"</formula>
    </cfRule>
    <cfRule type="cellIs" dxfId="194" priority="231" operator="equal">
      <formula>"Mayor"</formula>
    </cfRule>
    <cfRule type="cellIs" dxfId="193" priority="232" operator="equal">
      <formula>"Moderado"</formula>
    </cfRule>
    <cfRule type="cellIs" dxfId="192" priority="233" operator="equal">
      <formula>"Menor"</formula>
    </cfRule>
    <cfRule type="cellIs" dxfId="191" priority="234" operator="equal">
      <formula>"Leve"</formula>
    </cfRule>
  </conditionalFormatting>
  <conditionalFormatting sqref="AH19:AH24">
    <cfRule type="cellIs" dxfId="190" priority="226" operator="equal">
      <formula>"Extremo"</formula>
    </cfRule>
    <cfRule type="cellIs" dxfId="189" priority="227" operator="equal">
      <formula>"Alto"</formula>
    </cfRule>
    <cfRule type="cellIs" dxfId="188" priority="228" operator="equal">
      <formula>"Moderado"</formula>
    </cfRule>
    <cfRule type="cellIs" dxfId="187" priority="229" operator="equal">
      <formula>"Bajo"</formula>
    </cfRule>
  </conditionalFormatting>
  <conditionalFormatting sqref="M25">
    <cfRule type="cellIs" dxfId="186" priority="221" operator="equal">
      <formula>"Muy Alta"</formula>
    </cfRule>
    <cfRule type="cellIs" dxfId="185" priority="222" operator="equal">
      <formula>"Alta"</formula>
    </cfRule>
    <cfRule type="cellIs" dxfId="184" priority="223" operator="equal">
      <formula>"Media"</formula>
    </cfRule>
    <cfRule type="cellIs" dxfId="183" priority="224" operator="equal">
      <formula>"Baja"</formula>
    </cfRule>
    <cfRule type="cellIs" dxfId="182" priority="225" operator="equal">
      <formula>"Muy Baja"</formula>
    </cfRule>
  </conditionalFormatting>
  <conditionalFormatting sqref="S25">
    <cfRule type="cellIs" dxfId="181" priority="212" operator="equal">
      <formula>"Extremo"</formula>
    </cfRule>
    <cfRule type="cellIs" dxfId="180" priority="213" operator="equal">
      <formula>"Alto"</formula>
    </cfRule>
    <cfRule type="cellIs" dxfId="179" priority="214" operator="equal">
      <formula>"Moderado"</formula>
    </cfRule>
    <cfRule type="cellIs" dxfId="178" priority="215" operator="equal">
      <formula>"Bajo"</formula>
    </cfRule>
  </conditionalFormatting>
  <conditionalFormatting sqref="AD25:AD30">
    <cfRule type="cellIs" dxfId="177" priority="207" operator="equal">
      <formula>"Muy Alta"</formula>
    </cfRule>
    <cfRule type="cellIs" dxfId="176" priority="208" operator="equal">
      <formula>"Alta"</formula>
    </cfRule>
    <cfRule type="cellIs" dxfId="175" priority="209" operator="equal">
      <formula>"Media"</formula>
    </cfRule>
    <cfRule type="cellIs" dxfId="174" priority="210" operator="equal">
      <formula>"Baja"</formula>
    </cfRule>
    <cfRule type="cellIs" dxfId="173" priority="211" operator="equal">
      <formula>"Muy Baja"</formula>
    </cfRule>
  </conditionalFormatting>
  <conditionalFormatting sqref="AF25:AF30">
    <cfRule type="cellIs" dxfId="172" priority="202" operator="equal">
      <formula>"Catastrófico"</formula>
    </cfRule>
    <cfRule type="cellIs" dxfId="171" priority="203" operator="equal">
      <formula>"Mayor"</formula>
    </cfRule>
    <cfRule type="cellIs" dxfId="170" priority="204" operator="equal">
      <formula>"Moderado"</formula>
    </cfRule>
    <cfRule type="cellIs" dxfId="169" priority="205" operator="equal">
      <formula>"Menor"</formula>
    </cfRule>
    <cfRule type="cellIs" dxfId="168" priority="206" operator="equal">
      <formula>"Leve"</formula>
    </cfRule>
  </conditionalFormatting>
  <conditionalFormatting sqref="AH25:AH30">
    <cfRule type="cellIs" dxfId="167" priority="198" operator="equal">
      <formula>"Extremo"</formula>
    </cfRule>
    <cfRule type="cellIs" dxfId="166" priority="199" operator="equal">
      <formula>"Alto"</formula>
    </cfRule>
    <cfRule type="cellIs" dxfId="165" priority="200" operator="equal">
      <formula>"Moderado"</formula>
    </cfRule>
    <cfRule type="cellIs" dxfId="164" priority="201" operator="equal">
      <formula>"Bajo"</formula>
    </cfRule>
  </conditionalFormatting>
  <conditionalFormatting sqref="M31">
    <cfRule type="cellIs" dxfId="163" priority="193" operator="equal">
      <formula>"Muy Alta"</formula>
    </cfRule>
    <cfRule type="cellIs" dxfId="162" priority="194" operator="equal">
      <formula>"Alta"</formula>
    </cfRule>
    <cfRule type="cellIs" dxfId="161" priority="195" operator="equal">
      <formula>"Media"</formula>
    </cfRule>
    <cfRule type="cellIs" dxfId="160" priority="196" operator="equal">
      <formula>"Baja"</formula>
    </cfRule>
    <cfRule type="cellIs" dxfId="159" priority="197" operator="equal">
      <formula>"Muy Baja"</formula>
    </cfRule>
  </conditionalFormatting>
  <conditionalFormatting sqref="S31">
    <cfRule type="cellIs" dxfId="158" priority="184" operator="equal">
      <formula>"Extremo"</formula>
    </cfRule>
    <cfRule type="cellIs" dxfId="157" priority="185" operator="equal">
      <formula>"Alto"</formula>
    </cfRule>
    <cfRule type="cellIs" dxfId="156" priority="186" operator="equal">
      <formula>"Moderado"</formula>
    </cfRule>
    <cfRule type="cellIs" dxfId="155" priority="187" operator="equal">
      <formula>"Bajo"</formula>
    </cfRule>
  </conditionalFormatting>
  <conditionalFormatting sqref="AD31:AD36">
    <cfRule type="cellIs" dxfId="154" priority="179" operator="equal">
      <formula>"Muy Alta"</formula>
    </cfRule>
    <cfRule type="cellIs" dxfId="153" priority="180" operator="equal">
      <formula>"Alta"</formula>
    </cfRule>
    <cfRule type="cellIs" dxfId="152" priority="181" operator="equal">
      <formula>"Media"</formula>
    </cfRule>
    <cfRule type="cellIs" dxfId="151" priority="182" operator="equal">
      <formula>"Baja"</formula>
    </cfRule>
    <cfRule type="cellIs" dxfId="150" priority="183" operator="equal">
      <formula>"Muy Baja"</formula>
    </cfRule>
  </conditionalFormatting>
  <conditionalFormatting sqref="AF31:AF36">
    <cfRule type="cellIs" dxfId="149" priority="174" operator="equal">
      <formula>"Catastrófico"</formula>
    </cfRule>
    <cfRule type="cellIs" dxfId="148" priority="175" operator="equal">
      <formula>"Mayor"</formula>
    </cfRule>
    <cfRule type="cellIs" dxfId="147" priority="176" operator="equal">
      <formula>"Moderado"</formula>
    </cfRule>
    <cfRule type="cellIs" dxfId="146" priority="177" operator="equal">
      <formula>"Menor"</formula>
    </cfRule>
    <cfRule type="cellIs" dxfId="145" priority="178" operator="equal">
      <formula>"Leve"</formula>
    </cfRule>
  </conditionalFormatting>
  <conditionalFormatting sqref="AH31:AH36">
    <cfRule type="cellIs" dxfId="144" priority="170" operator="equal">
      <formula>"Extremo"</formula>
    </cfRule>
    <cfRule type="cellIs" dxfId="143" priority="171" operator="equal">
      <formula>"Alto"</formula>
    </cfRule>
    <cfRule type="cellIs" dxfId="142" priority="172" operator="equal">
      <formula>"Moderado"</formula>
    </cfRule>
    <cfRule type="cellIs" dxfId="141" priority="173" operator="equal">
      <formula>"Bajo"</formula>
    </cfRule>
  </conditionalFormatting>
  <conditionalFormatting sqref="M37">
    <cfRule type="cellIs" dxfId="140" priority="165" operator="equal">
      <formula>"Muy Alta"</formula>
    </cfRule>
    <cfRule type="cellIs" dxfId="139" priority="166" operator="equal">
      <formula>"Alta"</formula>
    </cfRule>
    <cfRule type="cellIs" dxfId="138" priority="167" operator="equal">
      <formula>"Media"</formula>
    </cfRule>
    <cfRule type="cellIs" dxfId="137" priority="168" operator="equal">
      <formula>"Baja"</formula>
    </cfRule>
    <cfRule type="cellIs" dxfId="136" priority="169" operator="equal">
      <formula>"Muy Baja"</formula>
    </cfRule>
  </conditionalFormatting>
  <conditionalFormatting sqref="S37">
    <cfRule type="cellIs" dxfId="135" priority="156" operator="equal">
      <formula>"Extremo"</formula>
    </cfRule>
    <cfRule type="cellIs" dxfId="134" priority="157" operator="equal">
      <formula>"Alto"</formula>
    </cfRule>
    <cfRule type="cellIs" dxfId="133" priority="158" operator="equal">
      <formula>"Moderado"</formula>
    </cfRule>
    <cfRule type="cellIs" dxfId="132" priority="159" operator="equal">
      <formula>"Bajo"</formula>
    </cfRule>
  </conditionalFormatting>
  <conditionalFormatting sqref="AD37:AD42">
    <cfRule type="cellIs" dxfId="131" priority="151" operator="equal">
      <formula>"Muy Alta"</formula>
    </cfRule>
    <cfRule type="cellIs" dxfId="130" priority="152" operator="equal">
      <formula>"Alta"</formula>
    </cfRule>
    <cfRule type="cellIs" dxfId="129" priority="153" operator="equal">
      <formula>"Media"</formula>
    </cfRule>
    <cfRule type="cellIs" dxfId="128" priority="154" operator="equal">
      <formula>"Baja"</formula>
    </cfRule>
    <cfRule type="cellIs" dxfId="127" priority="155" operator="equal">
      <formula>"Muy Baja"</formula>
    </cfRule>
  </conditionalFormatting>
  <conditionalFormatting sqref="AF37:AF42">
    <cfRule type="cellIs" dxfId="126" priority="146" operator="equal">
      <formula>"Catastrófico"</formula>
    </cfRule>
    <cfRule type="cellIs" dxfId="125" priority="147" operator="equal">
      <formula>"Mayor"</formula>
    </cfRule>
    <cfRule type="cellIs" dxfId="124" priority="148" operator="equal">
      <formula>"Moderado"</formula>
    </cfRule>
    <cfRule type="cellIs" dxfId="123" priority="149" operator="equal">
      <formula>"Menor"</formula>
    </cfRule>
    <cfRule type="cellIs" dxfId="122" priority="150" operator="equal">
      <formula>"Leve"</formula>
    </cfRule>
  </conditionalFormatting>
  <conditionalFormatting sqref="AH37:AH42">
    <cfRule type="cellIs" dxfId="121" priority="142" operator="equal">
      <formula>"Extremo"</formula>
    </cfRule>
    <cfRule type="cellIs" dxfId="120" priority="143" operator="equal">
      <formula>"Alto"</formula>
    </cfRule>
    <cfRule type="cellIs" dxfId="119" priority="144" operator="equal">
      <formula>"Moderado"</formula>
    </cfRule>
    <cfRule type="cellIs" dxfId="118" priority="145" operator="equal">
      <formula>"Bajo"</formula>
    </cfRule>
  </conditionalFormatting>
  <conditionalFormatting sqref="M43">
    <cfRule type="cellIs" dxfId="117" priority="137" operator="equal">
      <formula>"Muy Alta"</formula>
    </cfRule>
    <cfRule type="cellIs" dxfId="116" priority="138" operator="equal">
      <formula>"Alta"</formula>
    </cfRule>
    <cfRule type="cellIs" dxfId="115" priority="139" operator="equal">
      <formula>"Media"</formula>
    </cfRule>
    <cfRule type="cellIs" dxfId="114" priority="140" operator="equal">
      <formula>"Baja"</formula>
    </cfRule>
    <cfRule type="cellIs" dxfId="113" priority="141" operator="equal">
      <formula>"Muy Baja"</formula>
    </cfRule>
  </conditionalFormatting>
  <conditionalFormatting sqref="S43">
    <cfRule type="cellIs" dxfId="112" priority="128" operator="equal">
      <formula>"Extremo"</formula>
    </cfRule>
    <cfRule type="cellIs" dxfId="111" priority="129" operator="equal">
      <formula>"Alto"</formula>
    </cfRule>
    <cfRule type="cellIs" dxfId="110" priority="130" operator="equal">
      <formula>"Moderado"</formula>
    </cfRule>
    <cfRule type="cellIs" dxfId="109" priority="131" operator="equal">
      <formula>"Bajo"</formula>
    </cfRule>
  </conditionalFormatting>
  <conditionalFormatting sqref="AD43:AD48">
    <cfRule type="cellIs" dxfId="108" priority="123" operator="equal">
      <formula>"Muy Alta"</formula>
    </cfRule>
    <cfRule type="cellIs" dxfId="107" priority="124" operator="equal">
      <formula>"Alta"</formula>
    </cfRule>
    <cfRule type="cellIs" dxfId="106" priority="125" operator="equal">
      <formula>"Media"</formula>
    </cfRule>
    <cfRule type="cellIs" dxfId="105" priority="126" operator="equal">
      <formula>"Baja"</formula>
    </cfRule>
    <cfRule type="cellIs" dxfId="104" priority="127" operator="equal">
      <formula>"Muy Baja"</formula>
    </cfRule>
  </conditionalFormatting>
  <conditionalFormatting sqref="AF43:AF48">
    <cfRule type="cellIs" dxfId="103" priority="118" operator="equal">
      <formula>"Catastrófico"</formula>
    </cfRule>
    <cfRule type="cellIs" dxfId="102" priority="119" operator="equal">
      <formula>"Mayor"</formula>
    </cfRule>
    <cfRule type="cellIs" dxfId="101" priority="120" operator="equal">
      <formula>"Moderado"</formula>
    </cfRule>
    <cfRule type="cellIs" dxfId="100" priority="121" operator="equal">
      <formula>"Menor"</formula>
    </cfRule>
    <cfRule type="cellIs" dxfId="99" priority="122" operator="equal">
      <formula>"Leve"</formula>
    </cfRule>
  </conditionalFormatting>
  <conditionalFormatting sqref="AH43:AH48">
    <cfRule type="cellIs" dxfId="98" priority="114" operator="equal">
      <formula>"Extremo"</formula>
    </cfRule>
    <cfRule type="cellIs" dxfId="97" priority="115" operator="equal">
      <formula>"Alto"</formula>
    </cfRule>
    <cfRule type="cellIs" dxfId="96" priority="116" operator="equal">
      <formula>"Moderado"</formula>
    </cfRule>
    <cfRule type="cellIs" dxfId="95" priority="117" operator="equal">
      <formula>"Bajo"</formula>
    </cfRule>
  </conditionalFormatting>
  <conditionalFormatting sqref="M49">
    <cfRule type="cellIs" dxfId="94" priority="109" operator="equal">
      <formula>"Muy Alta"</formula>
    </cfRule>
    <cfRule type="cellIs" dxfId="93" priority="110" operator="equal">
      <formula>"Alta"</formula>
    </cfRule>
    <cfRule type="cellIs" dxfId="92" priority="111" operator="equal">
      <formula>"Media"</formula>
    </cfRule>
    <cfRule type="cellIs" dxfId="91" priority="112" operator="equal">
      <formula>"Baja"</formula>
    </cfRule>
    <cfRule type="cellIs" dxfId="90" priority="113" operator="equal">
      <formula>"Muy Baja"</formula>
    </cfRule>
  </conditionalFormatting>
  <conditionalFormatting sqref="S49">
    <cfRule type="cellIs" dxfId="89" priority="100" operator="equal">
      <formula>"Extremo"</formula>
    </cfRule>
    <cfRule type="cellIs" dxfId="88" priority="101" operator="equal">
      <formula>"Alto"</formula>
    </cfRule>
    <cfRule type="cellIs" dxfId="87" priority="102" operator="equal">
      <formula>"Moderado"</formula>
    </cfRule>
    <cfRule type="cellIs" dxfId="86" priority="103" operator="equal">
      <formula>"Bajo"</formula>
    </cfRule>
  </conditionalFormatting>
  <conditionalFormatting sqref="AD49:AD54">
    <cfRule type="cellIs" dxfId="85" priority="95" operator="equal">
      <formula>"Muy Alta"</formula>
    </cfRule>
    <cfRule type="cellIs" dxfId="84" priority="96" operator="equal">
      <formula>"Alta"</formula>
    </cfRule>
    <cfRule type="cellIs" dxfId="83" priority="97" operator="equal">
      <formula>"Media"</formula>
    </cfRule>
    <cfRule type="cellIs" dxfId="82" priority="98" operator="equal">
      <formula>"Baja"</formula>
    </cfRule>
    <cfRule type="cellIs" dxfId="81" priority="99" operator="equal">
      <formula>"Muy Baja"</formula>
    </cfRule>
  </conditionalFormatting>
  <conditionalFormatting sqref="AF49:AF54">
    <cfRule type="cellIs" dxfId="80" priority="90" operator="equal">
      <formula>"Catastrófico"</formula>
    </cfRule>
    <cfRule type="cellIs" dxfId="79" priority="91" operator="equal">
      <formula>"Mayor"</formula>
    </cfRule>
    <cfRule type="cellIs" dxfId="78" priority="92" operator="equal">
      <formula>"Moderado"</formula>
    </cfRule>
    <cfRule type="cellIs" dxfId="77" priority="93" operator="equal">
      <formula>"Menor"</formula>
    </cfRule>
    <cfRule type="cellIs" dxfId="76" priority="94" operator="equal">
      <formula>"Leve"</formula>
    </cfRule>
  </conditionalFormatting>
  <conditionalFormatting sqref="AH49:AH54">
    <cfRule type="cellIs" dxfId="75" priority="86" operator="equal">
      <formula>"Extremo"</formula>
    </cfRule>
    <cfRule type="cellIs" dxfId="74" priority="87" operator="equal">
      <formula>"Alto"</formula>
    </cfRule>
    <cfRule type="cellIs" dxfId="73" priority="88" operator="equal">
      <formula>"Moderado"</formula>
    </cfRule>
    <cfRule type="cellIs" dxfId="72" priority="89" operator="equal">
      <formula>"Bajo"</formula>
    </cfRule>
  </conditionalFormatting>
  <conditionalFormatting sqref="M55">
    <cfRule type="cellIs" dxfId="71" priority="81" operator="equal">
      <formula>"Muy Alta"</formula>
    </cfRule>
    <cfRule type="cellIs" dxfId="70" priority="82" operator="equal">
      <formula>"Alta"</formula>
    </cfRule>
    <cfRule type="cellIs" dxfId="69" priority="83" operator="equal">
      <formula>"Media"</formula>
    </cfRule>
    <cfRule type="cellIs" dxfId="68" priority="84" operator="equal">
      <formula>"Baja"</formula>
    </cfRule>
    <cfRule type="cellIs" dxfId="67" priority="85" operator="equal">
      <formula>"Muy Baja"</formula>
    </cfRule>
  </conditionalFormatting>
  <conditionalFormatting sqref="S55">
    <cfRule type="cellIs" dxfId="66" priority="72" operator="equal">
      <formula>"Extremo"</formula>
    </cfRule>
    <cfRule type="cellIs" dxfId="65" priority="73" operator="equal">
      <formula>"Alto"</formula>
    </cfRule>
    <cfRule type="cellIs" dxfId="64" priority="74" operator="equal">
      <formula>"Moderado"</formula>
    </cfRule>
    <cfRule type="cellIs" dxfId="63" priority="75" operator="equal">
      <formula>"Bajo"</formula>
    </cfRule>
  </conditionalFormatting>
  <conditionalFormatting sqref="AD55:AD60">
    <cfRule type="cellIs" dxfId="62" priority="67" operator="equal">
      <formula>"Muy Alta"</formula>
    </cfRule>
    <cfRule type="cellIs" dxfId="61" priority="68" operator="equal">
      <formula>"Alta"</formula>
    </cfRule>
    <cfRule type="cellIs" dxfId="60" priority="69" operator="equal">
      <formula>"Media"</formula>
    </cfRule>
    <cfRule type="cellIs" dxfId="59" priority="70" operator="equal">
      <formula>"Baja"</formula>
    </cfRule>
    <cfRule type="cellIs" dxfId="58" priority="71" operator="equal">
      <formula>"Muy Baja"</formula>
    </cfRule>
  </conditionalFormatting>
  <conditionalFormatting sqref="AF55:AF60">
    <cfRule type="cellIs" dxfId="57" priority="62" operator="equal">
      <formula>"Catastrófico"</formula>
    </cfRule>
    <cfRule type="cellIs" dxfId="56" priority="63" operator="equal">
      <formula>"Mayor"</formula>
    </cfRule>
    <cfRule type="cellIs" dxfId="55" priority="64" operator="equal">
      <formula>"Moderado"</formula>
    </cfRule>
    <cfRule type="cellIs" dxfId="54" priority="65" operator="equal">
      <formula>"Menor"</formula>
    </cfRule>
    <cfRule type="cellIs" dxfId="53" priority="66" operator="equal">
      <formula>"Leve"</formula>
    </cfRule>
  </conditionalFormatting>
  <conditionalFormatting sqref="AH55:AH60">
    <cfRule type="cellIs" dxfId="52" priority="58" operator="equal">
      <formula>"Extremo"</formula>
    </cfRule>
    <cfRule type="cellIs" dxfId="51" priority="59" operator="equal">
      <formula>"Alto"</formula>
    </cfRule>
    <cfRule type="cellIs" dxfId="50" priority="60" operator="equal">
      <formula>"Moderado"</formula>
    </cfRule>
    <cfRule type="cellIs" dxfId="49" priority="61" operator="equal">
      <formula>"Bajo"</formula>
    </cfRule>
  </conditionalFormatting>
  <conditionalFormatting sqref="S61">
    <cfRule type="cellIs" dxfId="48" priority="44" operator="equal">
      <formula>"Extremo"</formula>
    </cfRule>
    <cfRule type="cellIs" dxfId="47" priority="45" operator="equal">
      <formula>"Alto"</formula>
    </cfRule>
    <cfRule type="cellIs" dxfId="46" priority="46" operator="equal">
      <formula>"Moderado"</formula>
    </cfRule>
    <cfRule type="cellIs" dxfId="45" priority="47" operator="equal">
      <formula>"Bajo"</formula>
    </cfRule>
  </conditionalFormatting>
  <conditionalFormatting sqref="AD61:AD66">
    <cfRule type="cellIs" dxfId="44" priority="39" operator="equal">
      <formula>"Muy Alta"</formula>
    </cfRule>
    <cfRule type="cellIs" dxfId="43" priority="40" operator="equal">
      <formula>"Alta"</formula>
    </cfRule>
    <cfRule type="cellIs" dxfId="42" priority="41" operator="equal">
      <formula>"Media"</formula>
    </cfRule>
    <cfRule type="cellIs" dxfId="41" priority="42" operator="equal">
      <formula>"Baja"</formula>
    </cfRule>
    <cfRule type="cellIs" dxfId="40" priority="43" operator="equal">
      <formula>"Muy Baja"</formula>
    </cfRule>
  </conditionalFormatting>
  <conditionalFormatting sqref="AF61:AF66">
    <cfRule type="cellIs" dxfId="39" priority="34" operator="equal">
      <formula>"Catastrófico"</formula>
    </cfRule>
    <cfRule type="cellIs" dxfId="38" priority="35" operator="equal">
      <formula>"Mayor"</formula>
    </cfRule>
    <cfRule type="cellIs" dxfId="37" priority="36" operator="equal">
      <formula>"Moderado"</formula>
    </cfRule>
    <cfRule type="cellIs" dxfId="36" priority="37" operator="equal">
      <formula>"Menor"</formula>
    </cfRule>
    <cfRule type="cellIs" dxfId="35" priority="38" operator="equal">
      <formula>"Leve"</formula>
    </cfRule>
  </conditionalFormatting>
  <conditionalFormatting sqref="AH61:AH66">
    <cfRule type="cellIs" dxfId="34" priority="30" operator="equal">
      <formula>"Extremo"</formula>
    </cfRule>
    <cfRule type="cellIs" dxfId="33" priority="31" operator="equal">
      <formula>"Alto"</formula>
    </cfRule>
    <cfRule type="cellIs" dxfId="32" priority="32" operator="equal">
      <formula>"Moderado"</formula>
    </cfRule>
    <cfRule type="cellIs" dxfId="31" priority="33" operator="equal">
      <formula>"Bajo"</formula>
    </cfRule>
  </conditionalFormatting>
  <conditionalFormatting sqref="M67">
    <cfRule type="cellIs" dxfId="30" priority="25" operator="equal">
      <formula>"Muy Alta"</formula>
    </cfRule>
    <cfRule type="cellIs" dxfId="29" priority="26" operator="equal">
      <formula>"Alta"</formula>
    </cfRule>
    <cfRule type="cellIs" dxfId="28" priority="27" operator="equal">
      <formula>"Media"</formula>
    </cfRule>
    <cfRule type="cellIs" dxfId="27" priority="28" operator="equal">
      <formula>"Baja"</formula>
    </cfRule>
    <cfRule type="cellIs" dxfId="26" priority="29" operator="equal">
      <formula>"Muy Baja"</formula>
    </cfRule>
  </conditionalFormatting>
  <conditionalFormatting sqref="S67">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D67:AD72">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F67:AF72">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H67:AH72">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P13:P72">
    <cfRule type="containsText" dxfId="7" priority="1" operator="containsText" text="❌">
      <formula>NOT(ISERROR(SEARCH("❌",P13)))</formula>
    </cfRule>
  </conditionalFormatting>
  <dataValidations count="1">
    <dataValidation showInputMessage="1" showErrorMessage="1" error="Recuerde que las acciones se generan bajo la medida de mitigar el riesgo" sqref="AJ13 AJ19 AJ25 AJ31 AJ37 AJ43:AJ72" xr:uid="{00000000-0002-0000-0300-000000000000}"/>
  </dataValidations>
  <pageMargins left="0.33" right="0.26" top="0.41" bottom="0.74803149606299213" header="0.31496062992125984" footer="0.31496062992125984"/>
  <pageSetup paperSize="5" scale="26" orientation="landscape" r:id="rId1"/>
  <colBreaks count="1" manualBreakCount="1">
    <brk id="41" max="1048575" man="1"/>
  </colBreaks>
  <ignoredErrors>
    <ignoredError sqref="AG15" formula="1"/>
  </ignoredErrors>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300-000001000000}">
          <x14:formula1>
            <xm:f>'Tabla Valoración controles'!$D$4:$D$6</xm:f>
          </x14:formula1>
          <xm:sqref>W13:W72</xm:sqref>
        </x14:dataValidation>
        <x14:dataValidation type="list" allowBlank="1" showInputMessage="1" showErrorMessage="1" xr:uid="{00000000-0002-0000-0300-000002000000}">
          <x14:formula1>
            <xm:f>'Tabla Valoración controles'!$D$7:$D$8</xm:f>
          </x14:formula1>
          <xm:sqref>X13:X72</xm:sqref>
        </x14:dataValidation>
        <x14:dataValidation type="list" allowBlank="1" showInputMessage="1" showErrorMessage="1" xr:uid="{00000000-0002-0000-0300-000003000000}">
          <x14:formula1>
            <xm:f>'Tabla Valoración controles'!$D$9:$D$10</xm:f>
          </x14:formula1>
          <xm:sqref>Z13:Z72</xm:sqref>
        </x14:dataValidation>
        <x14:dataValidation type="list" allowBlank="1" showInputMessage="1" showErrorMessage="1" xr:uid="{00000000-0002-0000-0300-000004000000}">
          <x14:formula1>
            <xm:f>'Tabla Valoración controles'!$D$11:$D$12</xm:f>
          </x14:formula1>
          <xm:sqref>AA13:AA72</xm:sqref>
        </x14:dataValidation>
        <x14:dataValidation type="list" allowBlank="1" showInputMessage="1" showErrorMessage="1" xr:uid="{00000000-0002-0000-0300-000005000000}">
          <x14:formula1>
            <xm:f>'Tabla Valoración controles'!$D$13:$D$14</xm:f>
          </x14:formula1>
          <xm:sqref>AB13:AB72</xm:sqref>
        </x14:dataValidation>
        <x14:dataValidation type="list" allowBlank="1" showInputMessage="1" showErrorMessage="1" xr:uid="{00000000-0002-0000-0300-000006000000}">
          <x14:formula1>
            <xm:f>'Opciones Tratamiento'!$E$2:$E$4</xm:f>
          </x14:formula1>
          <xm:sqref>D13:D72</xm:sqref>
        </x14:dataValidation>
        <x14:dataValidation type="list" allowBlank="1" showInputMessage="1" showErrorMessage="1" xr:uid="{00000000-0002-0000-0300-000007000000}">
          <x14:formula1>
            <xm:f>'Opciones Tratamiento'!$B$2:$B$5</xm:f>
          </x14:formula1>
          <xm:sqref>AI13:AI72</xm:sqref>
        </x14:dataValidation>
        <x14:dataValidation type="list" allowBlank="1" showInputMessage="1" showErrorMessage="1" xr:uid="{00000000-0002-0000-0300-000008000000}">
          <x14:formula1>
            <xm:f>'Tabla Impacto'!$F$210:$F$221</xm:f>
          </x14:formula1>
          <xm:sqref>O13:O72</xm:sqref>
        </x14:dataValidation>
        <x14:dataValidation type="list" allowBlank="1" showInputMessage="1" showErrorMessage="1" xr:uid="{00000000-0002-0000-0300-000009000000}">
          <x14:formula1>
            <xm:f>'Opciones Tratamiento'!$B$22:$B$43</xm:f>
          </x14:formula1>
          <xm:sqref>C13:C72</xm:sqref>
        </x14:dataValidation>
        <x14:dataValidation type="list" allowBlank="1" showInputMessage="1" showErrorMessage="1" xr:uid="{00000000-0002-0000-0300-00000A000000}">
          <x14:formula1>
            <xm:f>'Opciones Tratamiento'!$C$22:$C$43</xm:f>
          </x14:formula1>
          <xm:sqref>AK43:AK72</xm:sqref>
        </x14:dataValidation>
        <x14:dataValidation type="list" allowBlank="1" showInputMessage="1" showErrorMessage="1" xr:uid="{00000000-0002-0000-0300-00000B000000}">
          <x14:formula1>
            <xm:f>'Opciones Tratamiento'!$D$22:$D$23</xm:f>
          </x14:formula1>
          <xm:sqref>AN19 AN25 AN31:AN72</xm:sqref>
        </x14:dataValidation>
        <x14:dataValidation type="list" allowBlank="1" showInputMessage="1" showErrorMessage="1" xr:uid="{00000000-0002-0000-0300-00000C000000}">
          <x14:formula1>
            <xm:f>'Opciones Tratamiento'!$E$22:$E$25</xm:f>
          </x14:formula1>
          <xm:sqref>B13:B72</xm:sqref>
        </x14:dataValidation>
        <x14:dataValidation type="list" allowBlank="1" showInputMessage="1" showErrorMessage="1" xr:uid="{00000000-0002-0000-0300-00000D000000}">
          <x14:formula1>
            <xm:f>'Opciones Tratamiento'!$B$12:$B$20</xm:f>
          </x14:formula1>
          <xm:sqref>K13:K72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zoomScale="50" zoomScaleNormal="50" workbookViewId="0">
      <selection activeCell="B2" sqref="B2:AT51"/>
    </sheetView>
  </sheetViews>
  <sheetFormatPr baseColWidth="10" defaultRowHeight="15" x14ac:dyDescent="0.25"/>
  <cols>
    <col min="2" max="39" width="5.7109375" customWidth="1"/>
    <col min="41" max="46" width="5.7109375" customWidth="1"/>
  </cols>
  <sheetData>
    <row r="1" spans="1:9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25">
      <c r="A2" s="69"/>
      <c r="B2" s="484" t="s">
        <v>159</v>
      </c>
      <c r="C2" s="484"/>
      <c r="D2" s="484"/>
      <c r="E2" s="484"/>
      <c r="F2" s="484"/>
      <c r="G2" s="484"/>
      <c r="H2" s="484"/>
      <c r="I2" s="484"/>
      <c r="J2" s="452" t="s">
        <v>2</v>
      </c>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452"/>
      <c r="AJ2" s="452"/>
      <c r="AK2" s="452"/>
      <c r="AL2" s="452"/>
      <c r="AM2" s="452"/>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25">
      <c r="A3" s="69"/>
      <c r="B3" s="484"/>
      <c r="C3" s="484"/>
      <c r="D3" s="484"/>
      <c r="E3" s="484"/>
      <c r="F3" s="484"/>
      <c r="G3" s="484"/>
      <c r="H3" s="484"/>
      <c r="I3" s="484"/>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25">
      <c r="A4" s="69"/>
      <c r="B4" s="484"/>
      <c r="C4" s="484"/>
      <c r="D4" s="484"/>
      <c r="E4" s="484"/>
      <c r="F4" s="484"/>
      <c r="G4" s="484"/>
      <c r="H4" s="484"/>
      <c r="I4" s="484"/>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25">
      <c r="A6" s="69"/>
      <c r="B6" s="399" t="s">
        <v>4</v>
      </c>
      <c r="C6" s="399"/>
      <c r="D6" s="400"/>
      <c r="E6" s="437" t="s">
        <v>116</v>
      </c>
      <c r="F6" s="438"/>
      <c r="G6" s="438"/>
      <c r="H6" s="438"/>
      <c r="I6" s="439"/>
      <c r="J6" s="448" t="str">
        <f>IF(AND('Mapa final'!$M$13="Muy Alta",'Mapa final'!$Q$13="Leve"),CONCATENATE("R",'Mapa final'!$A$13),"")</f>
        <v/>
      </c>
      <c r="K6" s="449"/>
      <c r="L6" s="449" t="str">
        <f>IF(AND('Mapa final'!$M$19="Muy Alta",'Mapa final'!$Q$19="Leve"),CONCATENATE("R",'Mapa final'!$A$19),"")</f>
        <v/>
      </c>
      <c r="M6" s="449"/>
      <c r="N6" s="449" t="str">
        <f>IF(AND('Mapa final'!$M$25="Muy Alta",'Mapa final'!$Q$25="Leve"),CONCATENATE("R",'Mapa final'!$A$25),"")</f>
        <v/>
      </c>
      <c r="O6" s="451"/>
      <c r="P6" s="448" t="str">
        <f>IF(AND('Mapa final'!$M$13="Muy Alta",'Mapa final'!$Q$13="Menor"),CONCATENATE("R",'Mapa final'!$A$13),"")</f>
        <v/>
      </c>
      <c r="Q6" s="449"/>
      <c r="R6" s="449" t="str">
        <f>IF(AND('Mapa final'!$M$19="Muy Alta",'Mapa final'!$Q$19="Menor"),CONCATENATE("R",'Mapa final'!$A$19),"")</f>
        <v/>
      </c>
      <c r="S6" s="449"/>
      <c r="T6" s="449" t="str">
        <f>IF(AND('Mapa final'!$M$25="Muy Alta",'Mapa final'!$Q$25="Menor"),CONCATENATE("R",'Mapa final'!$A$25),"")</f>
        <v/>
      </c>
      <c r="U6" s="451"/>
      <c r="V6" s="448" t="str">
        <f>IF(AND('Mapa final'!$M$13="Muy Alta",'Mapa final'!$Q$13="Moderado"),CONCATENATE("R",'Mapa final'!$A$13),"")</f>
        <v/>
      </c>
      <c r="W6" s="449"/>
      <c r="X6" s="449" t="str">
        <f>IF(AND('Mapa final'!$M$19="Muy Alta",'Mapa final'!$Q$19="Moderado"),CONCATENATE("R",'Mapa final'!$A$19),"")</f>
        <v/>
      </c>
      <c r="Y6" s="449"/>
      <c r="Z6" s="449" t="str">
        <f>IF(AND('Mapa final'!$M$25="Muy Alta",'Mapa final'!$Q$25="Moderado"),CONCATENATE("R",'Mapa final'!$A$25),"")</f>
        <v/>
      </c>
      <c r="AA6" s="451"/>
      <c r="AB6" s="448" t="str">
        <f>IF(AND('Mapa final'!$M$13="Muy Alta",'Mapa final'!$Q$13="Mayor"),CONCATENATE("R",'Mapa final'!$A$13),"")</f>
        <v>R1</v>
      </c>
      <c r="AC6" s="449"/>
      <c r="AD6" s="449" t="str">
        <f>IF(AND('Mapa final'!$M$19="Muy Alta",'Mapa final'!$Q$19="Mayor"),CONCATENATE("R",'Mapa final'!$A$19),"")</f>
        <v>R2</v>
      </c>
      <c r="AE6" s="449"/>
      <c r="AF6" s="449" t="str">
        <f>IF(AND('Mapa final'!$M$25="Muy Alta",'Mapa final'!$Q$25="Mayor"),CONCATENATE("R",'Mapa final'!$A$25),"")</f>
        <v/>
      </c>
      <c r="AG6" s="451"/>
      <c r="AH6" s="463" t="str">
        <f>IF(AND('Mapa final'!$M$13="Muy Alta",'Mapa final'!$Q$13="Catastrófico"),CONCATENATE("R",'Mapa final'!$A$13),"")</f>
        <v/>
      </c>
      <c r="AI6" s="464"/>
      <c r="AJ6" s="464" t="str">
        <f>IF(AND('Mapa final'!$M$19="Muy Alta",'Mapa final'!$Q$19="Catastrófico"),CONCATENATE("R",'Mapa final'!$A$19),"")</f>
        <v/>
      </c>
      <c r="AK6" s="464"/>
      <c r="AL6" s="464" t="str">
        <f>IF(AND('Mapa final'!$M$25="Muy Alta",'Mapa final'!$Q$25="Catastrófico"),CONCATENATE("R",'Mapa final'!$A$25),"")</f>
        <v>R3</v>
      </c>
      <c r="AM6" s="465"/>
      <c r="AO6" s="401" t="s">
        <v>79</v>
      </c>
      <c r="AP6" s="402"/>
      <c r="AQ6" s="402"/>
      <c r="AR6" s="402"/>
      <c r="AS6" s="402"/>
      <c r="AT6" s="403"/>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25">
      <c r="A7" s="69"/>
      <c r="B7" s="399"/>
      <c r="C7" s="399"/>
      <c r="D7" s="400"/>
      <c r="E7" s="440"/>
      <c r="F7" s="441"/>
      <c r="G7" s="441"/>
      <c r="H7" s="441"/>
      <c r="I7" s="442"/>
      <c r="J7" s="450"/>
      <c r="K7" s="446"/>
      <c r="L7" s="446"/>
      <c r="M7" s="446"/>
      <c r="N7" s="446"/>
      <c r="O7" s="447"/>
      <c r="P7" s="450"/>
      <c r="Q7" s="446"/>
      <c r="R7" s="446"/>
      <c r="S7" s="446"/>
      <c r="T7" s="446"/>
      <c r="U7" s="447"/>
      <c r="V7" s="450"/>
      <c r="W7" s="446"/>
      <c r="X7" s="446"/>
      <c r="Y7" s="446"/>
      <c r="Z7" s="446"/>
      <c r="AA7" s="447"/>
      <c r="AB7" s="450"/>
      <c r="AC7" s="446"/>
      <c r="AD7" s="446"/>
      <c r="AE7" s="446"/>
      <c r="AF7" s="446"/>
      <c r="AG7" s="447"/>
      <c r="AH7" s="457"/>
      <c r="AI7" s="458"/>
      <c r="AJ7" s="458"/>
      <c r="AK7" s="458"/>
      <c r="AL7" s="458"/>
      <c r="AM7" s="459"/>
      <c r="AN7" s="69"/>
      <c r="AO7" s="404"/>
      <c r="AP7" s="405"/>
      <c r="AQ7" s="405"/>
      <c r="AR7" s="405"/>
      <c r="AS7" s="405"/>
      <c r="AT7" s="406"/>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25">
      <c r="A8" s="69"/>
      <c r="B8" s="399"/>
      <c r="C8" s="399"/>
      <c r="D8" s="400"/>
      <c r="E8" s="440"/>
      <c r="F8" s="441"/>
      <c r="G8" s="441"/>
      <c r="H8" s="441"/>
      <c r="I8" s="442"/>
      <c r="J8" s="450" t="str">
        <f>IF(AND('Mapa final'!$M$31="Muy Alta",'Mapa final'!$Q$31="Leve"),CONCATENATE("R",'Mapa final'!$A$31),"")</f>
        <v/>
      </c>
      <c r="K8" s="446"/>
      <c r="L8" s="446" t="str">
        <f>IF(AND('Mapa final'!$M$37="Muy Alta",'Mapa final'!$Q$37="Leve"),CONCATENATE("R",'Mapa final'!$A$37),"")</f>
        <v/>
      </c>
      <c r="M8" s="446"/>
      <c r="N8" s="446" t="str">
        <f>IF(AND('Mapa final'!$M$43="Muy Alta",'Mapa final'!$Q$43="Leve"),CONCATENATE("R",'Mapa final'!$A$43),"")</f>
        <v/>
      </c>
      <c r="O8" s="447"/>
      <c r="P8" s="450" t="str">
        <f>IF(AND('Mapa final'!$M$31="Muy Alta",'Mapa final'!$Q$31="Menor"),CONCATENATE("R",'Mapa final'!$A$31),"")</f>
        <v/>
      </c>
      <c r="Q8" s="446"/>
      <c r="R8" s="446" t="str">
        <f>IF(AND('Mapa final'!$M$37="Muy Alta",'Mapa final'!$Q$37="Menor"),CONCATENATE("R",'Mapa final'!$A$37),"")</f>
        <v/>
      </c>
      <c r="S8" s="446"/>
      <c r="T8" s="446" t="str">
        <f>IF(AND('Mapa final'!$M$43="Muy Alta",'Mapa final'!$Q$43="Menor"),CONCATENATE("R",'Mapa final'!$A$43),"")</f>
        <v/>
      </c>
      <c r="U8" s="447"/>
      <c r="V8" s="450" t="str">
        <f>IF(AND('Mapa final'!$M$31="Muy Alta",'Mapa final'!$Q$31="Moderado"),CONCATENATE("R",'Mapa final'!$A$31),"")</f>
        <v/>
      </c>
      <c r="W8" s="446"/>
      <c r="X8" s="446" t="str">
        <f>IF(AND('Mapa final'!$M$37="Muy Alta",'Mapa final'!$Q$37="Moderado"),CONCATENATE("R",'Mapa final'!$A$37),"")</f>
        <v/>
      </c>
      <c r="Y8" s="446"/>
      <c r="Z8" s="446" t="str">
        <f>IF(AND('Mapa final'!$M$43="Muy Alta",'Mapa final'!$Q$43="Moderado"),CONCATENATE("R",'Mapa final'!$A$43),"")</f>
        <v/>
      </c>
      <c r="AA8" s="447"/>
      <c r="AB8" s="450" t="str">
        <f>IF(AND('Mapa final'!$M$31="Muy Alta",'Mapa final'!$Q$31="Mayor"),CONCATENATE("R",'Mapa final'!$A$31),"")</f>
        <v/>
      </c>
      <c r="AC8" s="446"/>
      <c r="AD8" s="446" t="str">
        <f>IF(AND('Mapa final'!$M$37="Muy Alta",'Mapa final'!$Q$37="Mayor"),CONCATENATE("R",'Mapa final'!$A$37),"")</f>
        <v/>
      </c>
      <c r="AE8" s="446"/>
      <c r="AF8" s="446" t="str">
        <f>IF(AND('Mapa final'!$M$43="Muy Alta",'Mapa final'!$Q$43="Mayor"),CONCATENATE("R",'Mapa final'!$A$43),"")</f>
        <v/>
      </c>
      <c r="AG8" s="447"/>
      <c r="AH8" s="457" t="str">
        <f>IF(AND('Mapa final'!$M$31="Muy Alta",'Mapa final'!$Q$31="Catastrófico"),CONCATENATE("R",'Mapa final'!$A$31),"")</f>
        <v>R4</v>
      </c>
      <c r="AI8" s="458"/>
      <c r="AJ8" s="458" t="str">
        <f>IF(AND('Mapa final'!$M$37="Muy Alta",'Mapa final'!$Q$37="Catastrófico"),CONCATENATE("R",'Mapa final'!$A$37),"")</f>
        <v>R5</v>
      </c>
      <c r="AK8" s="458"/>
      <c r="AL8" s="458" t="str">
        <f>IF(AND('Mapa final'!$M$43="Muy Alta",'Mapa final'!$Q$43="Catastrófico"),CONCATENATE("R",'Mapa final'!$A$43),"")</f>
        <v/>
      </c>
      <c r="AM8" s="459"/>
      <c r="AN8" s="69"/>
      <c r="AO8" s="404"/>
      <c r="AP8" s="405"/>
      <c r="AQ8" s="405"/>
      <c r="AR8" s="405"/>
      <c r="AS8" s="405"/>
      <c r="AT8" s="406"/>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25">
      <c r="A9" s="69"/>
      <c r="B9" s="399"/>
      <c r="C9" s="399"/>
      <c r="D9" s="400"/>
      <c r="E9" s="440"/>
      <c r="F9" s="441"/>
      <c r="G9" s="441"/>
      <c r="H9" s="441"/>
      <c r="I9" s="442"/>
      <c r="J9" s="450"/>
      <c r="K9" s="446"/>
      <c r="L9" s="446"/>
      <c r="M9" s="446"/>
      <c r="N9" s="446"/>
      <c r="O9" s="447"/>
      <c r="P9" s="450"/>
      <c r="Q9" s="446"/>
      <c r="R9" s="446"/>
      <c r="S9" s="446"/>
      <c r="T9" s="446"/>
      <c r="U9" s="447"/>
      <c r="V9" s="450"/>
      <c r="W9" s="446"/>
      <c r="X9" s="446"/>
      <c r="Y9" s="446"/>
      <c r="Z9" s="446"/>
      <c r="AA9" s="447"/>
      <c r="AB9" s="450"/>
      <c r="AC9" s="446"/>
      <c r="AD9" s="446"/>
      <c r="AE9" s="446"/>
      <c r="AF9" s="446"/>
      <c r="AG9" s="447"/>
      <c r="AH9" s="457"/>
      <c r="AI9" s="458"/>
      <c r="AJ9" s="458"/>
      <c r="AK9" s="458"/>
      <c r="AL9" s="458"/>
      <c r="AM9" s="459"/>
      <c r="AN9" s="69"/>
      <c r="AO9" s="404"/>
      <c r="AP9" s="405"/>
      <c r="AQ9" s="405"/>
      <c r="AR9" s="405"/>
      <c r="AS9" s="405"/>
      <c r="AT9" s="406"/>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25">
      <c r="A10" s="69"/>
      <c r="B10" s="399"/>
      <c r="C10" s="399"/>
      <c r="D10" s="400"/>
      <c r="E10" s="440"/>
      <c r="F10" s="441"/>
      <c r="G10" s="441"/>
      <c r="H10" s="441"/>
      <c r="I10" s="442"/>
      <c r="J10" s="450" t="str">
        <f>IF(AND('Mapa final'!$M$49="Muy Alta",'Mapa final'!$Q$49="Leve"),CONCATENATE("R",'Mapa final'!$A$49),"")</f>
        <v/>
      </c>
      <c r="K10" s="446"/>
      <c r="L10" s="446" t="str">
        <f>IF(AND('Mapa final'!$M$55="Muy Alta",'Mapa final'!$Q$55="Leve"),CONCATENATE("R",'Mapa final'!$A$55),"")</f>
        <v/>
      </c>
      <c r="M10" s="446"/>
      <c r="N10" s="446" t="str">
        <f>IF(AND('Mapa final'!$M$61="Muy Alta",'Mapa final'!$Q$61="Leve"),CONCATENATE("R",'Mapa final'!$A$61),"")</f>
        <v/>
      </c>
      <c r="O10" s="447"/>
      <c r="P10" s="450" t="str">
        <f>IF(AND('Mapa final'!$M$49="Muy Alta",'Mapa final'!$Q$49="Menor"),CONCATENATE("R",'Mapa final'!$A$49),"")</f>
        <v/>
      </c>
      <c r="Q10" s="446"/>
      <c r="R10" s="446" t="str">
        <f>IF(AND('Mapa final'!$M$55="Muy Alta",'Mapa final'!$Q$55="Menor"),CONCATENATE("R",'Mapa final'!$A$55),"")</f>
        <v/>
      </c>
      <c r="S10" s="446"/>
      <c r="T10" s="446" t="str">
        <f>IF(AND('Mapa final'!$M$61="Muy Alta",'Mapa final'!$Q$61="Menor"),CONCATENATE("R",'Mapa final'!$A$61),"")</f>
        <v/>
      </c>
      <c r="U10" s="447"/>
      <c r="V10" s="450" t="str">
        <f>IF(AND('Mapa final'!$M$49="Muy Alta",'Mapa final'!$Q$49="Moderado"),CONCATENATE("R",'Mapa final'!$A$49),"")</f>
        <v/>
      </c>
      <c r="W10" s="446"/>
      <c r="X10" s="446" t="str">
        <f>IF(AND('Mapa final'!$M$55="Muy Alta",'Mapa final'!$Q$55="Moderado"),CONCATENATE("R",'Mapa final'!$A$55),"")</f>
        <v/>
      </c>
      <c r="Y10" s="446"/>
      <c r="Z10" s="446" t="str">
        <f>IF(AND('Mapa final'!$M$61="Muy Alta",'Mapa final'!$Q$61="Moderado"),CONCATENATE("R",'Mapa final'!$A$61),"")</f>
        <v/>
      </c>
      <c r="AA10" s="447"/>
      <c r="AB10" s="450" t="str">
        <f>IF(AND('Mapa final'!$M$49="Muy Alta",'Mapa final'!$Q$49="Mayor"),CONCATENATE("R",'Mapa final'!$A$49),"")</f>
        <v/>
      </c>
      <c r="AC10" s="446"/>
      <c r="AD10" s="446" t="str">
        <f>IF(AND('Mapa final'!$M$55="Muy Alta",'Mapa final'!$Q$55="Mayor"),CONCATENATE("R",'Mapa final'!$A$55),"")</f>
        <v/>
      </c>
      <c r="AE10" s="446"/>
      <c r="AF10" s="446" t="str">
        <f>IF(AND('Mapa final'!$M$61="Muy Alta",'Mapa final'!$Q$61="Mayor"),CONCATENATE("R",'Mapa final'!$A$61),"")</f>
        <v/>
      </c>
      <c r="AG10" s="447"/>
      <c r="AH10" s="457" t="str">
        <f>IF(AND('Mapa final'!$M$49="Muy Alta",'Mapa final'!$Q$49="Catastrófico"),CONCATENATE("R",'Mapa final'!$A$49),"")</f>
        <v/>
      </c>
      <c r="AI10" s="458"/>
      <c r="AJ10" s="458" t="str">
        <f>IF(AND('Mapa final'!$M$55="Muy Alta",'Mapa final'!$Q$55="Catastrófico"),CONCATENATE("R",'Mapa final'!$A$55),"")</f>
        <v/>
      </c>
      <c r="AK10" s="458"/>
      <c r="AL10" s="458" t="str">
        <f>IF(AND('Mapa final'!$M$61="Muy Alta",'Mapa final'!$Q$61="Catastrófico"),CONCATENATE("R",'Mapa final'!$A$61),"")</f>
        <v/>
      </c>
      <c r="AM10" s="459"/>
      <c r="AN10" s="69"/>
      <c r="AO10" s="404"/>
      <c r="AP10" s="405"/>
      <c r="AQ10" s="405"/>
      <c r="AR10" s="405"/>
      <c r="AS10" s="405"/>
      <c r="AT10" s="406"/>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25">
      <c r="A11" s="69"/>
      <c r="B11" s="399"/>
      <c r="C11" s="399"/>
      <c r="D11" s="400"/>
      <c r="E11" s="440"/>
      <c r="F11" s="441"/>
      <c r="G11" s="441"/>
      <c r="H11" s="441"/>
      <c r="I11" s="442"/>
      <c r="J11" s="450"/>
      <c r="K11" s="446"/>
      <c r="L11" s="446"/>
      <c r="M11" s="446"/>
      <c r="N11" s="446"/>
      <c r="O11" s="447"/>
      <c r="P11" s="450"/>
      <c r="Q11" s="446"/>
      <c r="R11" s="446"/>
      <c r="S11" s="446"/>
      <c r="T11" s="446"/>
      <c r="U11" s="447"/>
      <c r="V11" s="450"/>
      <c r="W11" s="446"/>
      <c r="X11" s="446"/>
      <c r="Y11" s="446"/>
      <c r="Z11" s="446"/>
      <c r="AA11" s="447"/>
      <c r="AB11" s="450"/>
      <c r="AC11" s="446"/>
      <c r="AD11" s="446"/>
      <c r="AE11" s="446"/>
      <c r="AF11" s="446"/>
      <c r="AG11" s="447"/>
      <c r="AH11" s="457"/>
      <c r="AI11" s="458"/>
      <c r="AJ11" s="458"/>
      <c r="AK11" s="458"/>
      <c r="AL11" s="458"/>
      <c r="AM11" s="459"/>
      <c r="AN11" s="69"/>
      <c r="AO11" s="404"/>
      <c r="AP11" s="405"/>
      <c r="AQ11" s="405"/>
      <c r="AR11" s="405"/>
      <c r="AS11" s="405"/>
      <c r="AT11" s="406"/>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25">
      <c r="A12" s="69"/>
      <c r="B12" s="399"/>
      <c r="C12" s="399"/>
      <c r="D12" s="400"/>
      <c r="E12" s="440"/>
      <c r="F12" s="441"/>
      <c r="G12" s="441"/>
      <c r="H12" s="441"/>
      <c r="I12" s="442"/>
      <c r="J12" s="450" t="str">
        <f>IF(AND('Mapa final'!$M$67="Muy Alta",'Mapa final'!$Q$67="Leve"),CONCATENATE("R",'Mapa final'!$A$67),"")</f>
        <v/>
      </c>
      <c r="K12" s="446"/>
      <c r="L12" s="446" t="str">
        <f>IF(AND('Mapa final'!$M$73="Muy Alta",'Mapa final'!$Q$73="Leve"),CONCATENATE("R",'Mapa final'!$A$73),"")</f>
        <v/>
      </c>
      <c r="M12" s="446"/>
      <c r="N12" s="446" t="str">
        <f>IF(AND('Mapa final'!$M$79="Muy Alta",'Mapa final'!$Q$79="Leve"),CONCATENATE("R",'Mapa final'!$A$79),"")</f>
        <v/>
      </c>
      <c r="O12" s="447"/>
      <c r="P12" s="450" t="str">
        <f>IF(AND('Mapa final'!$M$67="Muy Alta",'Mapa final'!$Q$67="Menor"),CONCATENATE("R",'Mapa final'!$A$67),"")</f>
        <v/>
      </c>
      <c r="Q12" s="446"/>
      <c r="R12" s="446" t="str">
        <f>IF(AND('Mapa final'!$M$73="Muy Alta",'Mapa final'!$Q$73="Menor"),CONCATENATE("R",'Mapa final'!$A$73),"")</f>
        <v/>
      </c>
      <c r="S12" s="446"/>
      <c r="T12" s="446" t="str">
        <f>IF(AND('Mapa final'!$M$79="Muy Alta",'Mapa final'!$Q$79="Menor"),CONCATENATE("R",'Mapa final'!$A$79),"")</f>
        <v/>
      </c>
      <c r="U12" s="447"/>
      <c r="V12" s="450" t="str">
        <f>IF(AND('Mapa final'!$M$67="Muy Alta",'Mapa final'!$Q$67="Moderado"),CONCATENATE("R",'Mapa final'!$A$67),"")</f>
        <v/>
      </c>
      <c r="W12" s="446"/>
      <c r="X12" s="446" t="str">
        <f>IF(AND('Mapa final'!$M$73="Muy Alta",'Mapa final'!$Q$73="Moderado"),CONCATENATE("R",'Mapa final'!$A$73),"")</f>
        <v/>
      </c>
      <c r="Y12" s="446"/>
      <c r="Z12" s="446" t="str">
        <f>IF(AND('Mapa final'!$M$79="Muy Alta",'Mapa final'!$Q$79="Moderado"),CONCATENATE("R",'Mapa final'!$A$79),"")</f>
        <v/>
      </c>
      <c r="AA12" s="447"/>
      <c r="AB12" s="450" t="str">
        <f>IF(AND('Mapa final'!$M$67="Muy Alta",'Mapa final'!$Q$67="Mayor"),CONCATENATE("R",'Mapa final'!$A$67),"")</f>
        <v/>
      </c>
      <c r="AC12" s="446"/>
      <c r="AD12" s="446" t="str">
        <f>IF(AND('Mapa final'!$M$73="Muy Alta",'Mapa final'!$Q$73="Mayor"),CONCATENATE("R",'Mapa final'!$A$73),"")</f>
        <v/>
      </c>
      <c r="AE12" s="446"/>
      <c r="AF12" s="446" t="str">
        <f>IF(AND('Mapa final'!$M$79="Muy Alta",'Mapa final'!$Q$79="Mayor"),CONCATENATE("R",'Mapa final'!$A$79),"")</f>
        <v/>
      </c>
      <c r="AG12" s="447"/>
      <c r="AH12" s="457" t="str">
        <f>IF(AND('Mapa final'!$M$67="Muy Alta",'Mapa final'!$Q$67="Catastrófico"),CONCATENATE("R",'Mapa final'!$A$67),"")</f>
        <v/>
      </c>
      <c r="AI12" s="458"/>
      <c r="AJ12" s="458" t="str">
        <f>IF(AND('Mapa final'!$M$73="Muy Alta",'Mapa final'!$Q$73="Catastrófico"),CONCATENATE("R",'Mapa final'!$A$73),"")</f>
        <v/>
      </c>
      <c r="AK12" s="458"/>
      <c r="AL12" s="458" t="str">
        <f>IF(AND('Mapa final'!$M$79="Muy Alta",'Mapa final'!$Q$79="Catastrófico"),CONCATENATE("R",'Mapa final'!$A$79),"")</f>
        <v/>
      </c>
      <c r="AM12" s="459"/>
      <c r="AN12" s="69"/>
      <c r="AO12" s="404"/>
      <c r="AP12" s="405"/>
      <c r="AQ12" s="405"/>
      <c r="AR12" s="405"/>
      <c r="AS12" s="405"/>
      <c r="AT12" s="406"/>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
      <c r="A13" s="69"/>
      <c r="B13" s="399"/>
      <c r="C13" s="399"/>
      <c r="D13" s="400"/>
      <c r="E13" s="443"/>
      <c r="F13" s="444"/>
      <c r="G13" s="444"/>
      <c r="H13" s="444"/>
      <c r="I13" s="445"/>
      <c r="J13" s="450"/>
      <c r="K13" s="446"/>
      <c r="L13" s="446"/>
      <c r="M13" s="446"/>
      <c r="N13" s="446"/>
      <c r="O13" s="447"/>
      <c r="P13" s="450"/>
      <c r="Q13" s="446"/>
      <c r="R13" s="446"/>
      <c r="S13" s="446"/>
      <c r="T13" s="446"/>
      <c r="U13" s="447"/>
      <c r="V13" s="450"/>
      <c r="W13" s="446"/>
      <c r="X13" s="446"/>
      <c r="Y13" s="446"/>
      <c r="Z13" s="446"/>
      <c r="AA13" s="447"/>
      <c r="AB13" s="450"/>
      <c r="AC13" s="446"/>
      <c r="AD13" s="446"/>
      <c r="AE13" s="446"/>
      <c r="AF13" s="446"/>
      <c r="AG13" s="447"/>
      <c r="AH13" s="460"/>
      <c r="AI13" s="461"/>
      <c r="AJ13" s="461"/>
      <c r="AK13" s="461"/>
      <c r="AL13" s="461"/>
      <c r="AM13" s="462"/>
      <c r="AN13" s="69"/>
      <c r="AO13" s="407"/>
      <c r="AP13" s="408"/>
      <c r="AQ13" s="408"/>
      <c r="AR13" s="408"/>
      <c r="AS13" s="408"/>
      <c r="AT13" s="40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25">
      <c r="A14" s="69"/>
      <c r="B14" s="399"/>
      <c r="C14" s="399"/>
      <c r="D14" s="400"/>
      <c r="E14" s="437" t="s">
        <v>115</v>
      </c>
      <c r="F14" s="438"/>
      <c r="G14" s="438"/>
      <c r="H14" s="438"/>
      <c r="I14" s="438"/>
      <c r="J14" s="472" t="str">
        <f>IF(AND('Mapa final'!$M$13="Alta",'Mapa final'!$Q$13="Leve"),CONCATENATE("R",'Mapa final'!$A$13),"")</f>
        <v/>
      </c>
      <c r="K14" s="473"/>
      <c r="L14" s="473" t="str">
        <f>IF(AND('Mapa final'!$M$19="Alta",'Mapa final'!$Q$19="Leve"),CONCATENATE("R",'Mapa final'!$A$19),"")</f>
        <v/>
      </c>
      <c r="M14" s="473"/>
      <c r="N14" s="473" t="str">
        <f>IF(AND('Mapa final'!$M$25="Alta",'Mapa final'!$Q$25="Leve"),CONCATENATE("R",'Mapa final'!$A$25),"")</f>
        <v/>
      </c>
      <c r="O14" s="474"/>
      <c r="P14" s="472" t="str">
        <f>IF(AND('Mapa final'!$M$13="Alta",'Mapa final'!$Q$13="Menor"),CONCATENATE("R",'Mapa final'!$A$13),"")</f>
        <v/>
      </c>
      <c r="Q14" s="473"/>
      <c r="R14" s="473" t="str">
        <f>IF(AND('Mapa final'!$M$19="Alta",'Mapa final'!$Q$19="Menor"),CONCATENATE("R",'Mapa final'!$A$19),"")</f>
        <v/>
      </c>
      <c r="S14" s="473"/>
      <c r="T14" s="473" t="str">
        <f>IF(AND('Mapa final'!$M$25="Alta",'Mapa final'!$Q$25="Menor"),CONCATENATE("R",'Mapa final'!$A$25),"")</f>
        <v/>
      </c>
      <c r="U14" s="474"/>
      <c r="V14" s="448" t="str">
        <f>IF(AND('Mapa final'!$M$13="Alta",'Mapa final'!$Q$13="Moderado"),CONCATENATE("R",'Mapa final'!$A$13),"")</f>
        <v/>
      </c>
      <c r="W14" s="449"/>
      <c r="X14" s="449" t="str">
        <f>IF(AND('Mapa final'!$M$19="Alta",'Mapa final'!$Q$19="Moderado"),CONCATENATE("R",'Mapa final'!$A$19),"")</f>
        <v/>
      </c>
      <c r="Y14" s="449"/>
      <c r="Z14" s="449" t="str">
        <f>IF(AND('Mapa final'!$M$25="Alta",'Mapa final'!$Q$25="Moderado"),CONCATENATE("R",'Mapa final'!$A$25),"")</f>
        <v/>
      </c>
      <c r="AA14" s="451"/>
      <c r="AB14" s="448" t="str">
        <f>IF(AND('Mapa final'!$M$13="Alta",'Mapa final'!$Q$13="Mayor"),CONCATENATE("R",'Mapa final'!$A$13),"")</f>
        <v/>
      </c>
      <c r="AC14" s="449"/>
      <c r="AD14" s="449" t="str">
        <f>IF(AND('Mapa final'!$M$19="Alta",'Mapa final'!$Q$19="Mayor"),CONCATENATE("R",'Mapa final'!$A$19),"")</f>
        <v/>
      </c>
      <c r="AE14" s="449"/>
      <c r="AF14" s="449" t="str">
        <f>IF(AND('Mapa final'!$M$25="Alta",'Mapa final'!$Q$25="Mayor"),CONCATENATE("R",'Mapa final'!$A$25),"")</f>
        <v/>
      </c>
      <c r="AG14" s="451"/>
      <c r="AH14" s="463" t="str">
        <f>IF(AND('Mapa final'!$M$13="Alta",'Mapa final'!$Q$13="Catastrófico"),CONCATENATE("R",'Mapa final'!$A$13),"")</f>
        <v/>
      </c>
      <c r="AI14" s="464"/>
      <c r="AJ14" s="464" t="str">
        <f>IF(AND('Mapa final'!$M$19="Alta",'Mapa final'!$Q$19="Catastrófico"),CONCATENATE("R",'Mapa final'!$A$19),"")</f>
        <v/>
      </c>
      <c r="AK14" s="464"/>
      <c r="AL14" s="464" t="str">
        <f>IF(AND('Mapa final'!$M$25="Alta",'Mapa final'!$Q$25="Catastrófico"),CONCATENATE("R",'Mapa final'!$A$25),"")</f>
        <v/>
      </c>
      <c r="AM14" s="465"/>
      <c r="AN14" s="69"/>
      <c r="AO14" s="410" t="s">
        <v>80</v>
      </c>
      <c r="AP14" s="411"/>
      <c r="AQ14" s="411"/>
      <c r="AR14" s="411"/>
      <c r="AS14" s="411"/>
      <c r="AT14" s="412"/>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25">
      <c r="A15" s="69"/>
      <c r="B15" s="399"/>
      <c r="C15" s="399"/>
      <c r="D15" s="400"/>
      <c r="E15" s="440"/>
      <c r="F15" s="441"/>
      <c r="G15" s="441"/>
      <c r="H15" s="441"/>
      <c r="I15" s="441"/>
      <c r="J15" s="466"/>
      <c r="K15" s="467"/>
      <c r="L15" s="467"/>
      <c r="M15" s="467"/>
      <c r="N15" s="467"/>
      <c r="O15" s="468"/>
      <c r="P15" s="466"/>
      <c r="Q15" s="467"/>
      <c r="R15" s="467"/>
      <c r="S15" s="467"/>
      <c r="T15" s="467"/>
      <c r="U15" s="468"/>
      <c r="V15" s="450"/>
      <c r="W15" s="446"/>
      <c r="X15" s="446"/>
      <c r="Y15" s="446"/>
      <c r="Z15" s="446"/>
      <c r="AA15" s="447"/>
      <c r="AB15" s="450"/>
      <c r="AC15" s="446"/>
      <c r="AD15" s="446"/>
      <c r="AE15" s="446"/>
      <c r="AF15" s="446"/>
      <c r="AG15" s="447"/>
      <c r="AH15" s="457"/>
      <c r="AI15" s="458"/>
      <c r="AJ15" s="458"/>
      <c r="AK15" s="458"/>
      <c r="AL15" s="458"/>
      <c r="AM15" s="459"/>
      <c r="AN15" s="69"/>
      <c r="AO15" s="413"/>
      <c r="AP15" s="414"/>
      <c r="AQ15" s="414"/>
      <c r="AR15" s="414"/>
      <c r="AS15" s="414"/>
      <c r="AT15" s="415"/>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25">
      <c r="A16" s="69"/>
      <c r="B16" s="399"/>
      <c r="C16" s="399"/>
      <c r="D16" s="400"/>
      <c r="E16" s="440"/>
      <c r="F16" s="441"/>
      <c r="G16" s="441"/>
      <c r="H16" s="441"/>
      <c r="I16" s="441"/>
      <c r="J16" s="466" t="str">
        <f>IF(AND('Mapa final'!$M$31="Alta",'Mapa final'!$Q$31="Leve"),CONCATENATE("R",'Mapa final'!$A$31),"")</f>
        <v/>
      </c>
      <c r="K16" s="467"/>
      <c r="L16" s="467" t="str">
        <f>IF(AND('Mapa final'!$M$37="Alta",'Mapa final'!$Q$37="Leve"),CONCATENATE("R",'Mapa final'!$A$37),"")</f>
        <v/>
      </c>
      <c r="M16" s="467"/>
      <c r="N16" s="467" t="str">
        <f>IF(AND('Mapa final'!$M$43="Alta",'Mapa final'!$Q$43="Leve"),CONCATENATE("R",'Mapa final'!$A$43),"")</f>
        <v/>
      </c>
      <c r="O16" s="468"/>
      <c r="P16" s="466" t="str">
        <f>IF(AND('Mapa final'!$M$31="Alta",'Mapa final'!$Q$31="Menor"),CONCATENATE("R",'Mapa final'!$A$31),"")</f>
        <v/>
      </c>
      <c r="Q16" s="467"/>
      <c r="R16" s="467" t="str">
        <f>IF(AND('Mapa final'!$M$37="Alta",'Mapa final'!$Q$37="Menor"),CONCATENATE("R",'Mapa final'!$A$37),"")</f>
        <v/>
      </c>
      <c r="S16" s="467"/>
      <c r="T16" s="467" t="str">
        <f>IF(AND('Mapa final'!$M$43="Alta",'Mapa final'!$Q$43="Menor"),CONCATENATE("R",'Mapa final'!$A$43),"")</f>
        <v/>
      </c>
      <c r="U16" s="468"/>
      <c r="V16" s="450" t="str">
        <f>IF(AND('Mapa final'!$M$31="Alta",'Mapa final'!$Q$31="Moderado"),CONCATENATE("R",'Mapa final'!$A$31),"")</f>
        <v/>
      </c>
      <c r="W16" s="446"/>
      <c r="X16" s="446" t="str">
        <f>IF(AND('Mapa final'!$M$37="Alta",'Mapa final'!$Q$37="Moderado"),CONCATENATE("R",'Mapa final'!$A$37),"")</f>
        <v/>
      </c>
      <c r="Y16" s="446"/>
      <c r="Z16" s="446" t="str">
        <f>IF(AND('Mapa final'!$M$43="Alta",'Mapa final'!$Q$43="Moderado"),CONCATENATE("R",'Mapa final'!$A$43),"")</f>
        <v/>
      </c>
      <c r="AA16" s="447"/>
      <c r="AB16" s="450" t="str">
        <f>IF(AND('Mapa final'!$M$31="Alta",'Mapa final'!$Q$31="Mayor"),CONCATENATE("R",'Mapa final'!$A$31),"")</f>
        <v/>
      </c>
      <c r="AC16" s="446"/>
      <c r="AD16" s="446" t="str">
        <f>IF(AND('Mapa final'!$M$37="Alta",'Mapa final'!$Q$37="Mayor"),CONCATENATE("R",'Mapa final'!$A$37),"")</f>
        <v/>
      </c>
      <c r="AE16" s="446"/>
      <c r="AF16" s="446" t="str">
        <f>IF(AND('Mapa final'!$M$43="Alta",'Mapa final'!$Q$43="Mayor"),CONCATENATE("R",'Mapa final'!$A$43),"")</f>
        <v/>
      </c>
      <c r="AG16" s="447"/>
      <c r="AH16" s="457" t="str">
        <f>IF(AND('Mapa final'!$M$31="Alta",'Mapa final'!$Q$31="Catastrófico"),CONCATENATE("R",'Mapa final'!$A$31),"")</f>
        <v/>
      </c>
      <c r="AI16" s="458"/>
      <c r="AJ16" s="458" t="str">
        <f>IF(AND('Mapa final'!$M$37="Alta",'Mapa final'!$Q$37="Catastrófico"),CONCATENATE("R",'Mapa final'!$A$37),"")</f>
        <v/>
      </c>
      <c r="AK16" s="458"/>
      <c r="AL16" s="458" t="str">
        <f>IF(AND('Mapa final'!$M$43="Alta",'Mapa final'!$Q$43="Catastrófico"),CONCATENATE("R",'Mapa final'!$A$43),"")</f>
        <v/>
      </c>
      <c r="AM16" s="459"/>
      <c r="AN16" s="69"/>
      <c r="AO16" s="413"/>
      <c r="AP16" s="414"/>
      <c r="AQ16" s="414"/>
      <c r="AR16" s="414"/>
      <c r="AS16" s="414"/>
      <c r="AT16" s="415"/>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25">
      <c r="A17" s="69"/>
      <c r="B17" s="399"/>
      <c r="C17" s="399"/>
      <c r="D17" s="400"/>
      <c r="E17" s="440"/>
      <c r="F17" s="441"/>
      <c r="G17" s="441"/>
      <c r="H17" s="441"/>
      <c r="I17" s="441"/>
      <c r="J17" s="466"/>
      <c r="K17" s="467"/>
      <c r="L17" s="467"/>
      <c r="M17" s="467"/>
      <c r="N17" s="467"/>
      <c r="O17" s="468"/>
      <c r="P17" s="466"/>
      <c r="Q17" s="467"/>
      <c r="R17" s="467"/>
      <c r="S17" s="467"/>
      <c r="T17" s="467"/>
      <c r="U17" s="468"/>
      <c r="V17" s="450"/>
      <c r="W17" s="446"/>
      <c r="X17" s="446"/>
      <c r="Y17" s="446"/>
      <c r="Z17" s="446"/>
      <c r="AA17" s="447"/>
      <c r="AB17" s="450"/>
      <c r="AC17" s="446"/>
      <c r="AD17" s="446"/>
      <c r="AE17" s="446"/>
      <c r="AF17" s="446"/>
      <c r="AG17" s="447"/>
      <c r="AH17" s="457"/>
      <c r="AI17" s="458"/>
      <c r="AJ17" s="458"/>
      <c r="AK17" s="458"/>
      <c r="AL17" s="458"/>
      <c r="AM17" s="459"/>
      <c r="AN17" s="69"/>
      <c r="AO17" s="413"/>
      <c r="AP17" s="414"/>
      <c r="AQ17" s="414"/>
      <c r="AR17" s="414"/>
      <c r="AS17" s="414"/>
      <c r="AT17" s="415"/>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25">
      <c r="A18" s="69"/>
      <c r="B18" s="399"/>
      <c r="C18" s="399"/>
      <c r="D18" s="400"/>
      <c r="E18" s="440"/>
      <c r="F18" s="441"/>
      <c r="G18" s="441"/>
      <c r="H18" s="441"/>
      <c r="I18" s="441"/>
      <c r="J18" s="466" t="str">
        <f>IF(AND('Mapa final'!$M$49="Alta",'Mapa final'!$Q$49="Leve"),CONCATENATE("R",'Mapa final'!$A$49),"")</f>
        <v/>
      </c>
      <c r="K18" s="467"/>
      <c r="L18" s="467" t="str">
        <f>IF(AND('Mapa final'!$M$55="Alta",'Mapa final'!$Q$55="Leve"),CONCATENATE("R",'Mapa final'!$A$55),"")</f>
        <v/>
      </c>
      <c r="M18" s="467"/>
      <c r="N18" s="467" t="str">
        <f>IF(AND('Mapa final'!$M$61="Alta",'Mapa final'!$Q$61="Leve"),CONCATENATE("R",'Mapa final'!$A$61),"")</f>
        <v/>
      </c>
      <c r="O18" s="468"/>
      <c r="P18" s="466" t="str">
        <f>IF(AND('Mapa final'!$M$49="Alta",'Mapa final'!$Q$49="Menor"),CONCATENATE("R",'Mapa final'!$A$49),"")</f>
        <v/>
      </c>
      <c r="Q18" s="467"/>
      <c r="R18" s="467" t="str">
        <f>IF(AND('Mapa final'!$M$55="Alta",'Mapa final'!$Q$55="Menor"),CONCATENATE("R",'Mapa final'!$A$55),"")</f>
        <v/>
      </c>
      <c r="S18" s="467"/>
      <c r="T18" s="467" t="str">
        <f>IF(AND('Mapa final'!$M$61="Alta",'Mapa final'!$Q$61="Menor"),CONCATENATE("R",'Mapa final'!$A$61),"")</f>
        <v/>
      </c>
      <c r="U18" s="468"/>
      <c r="V18" s="450" t="str">
        <f>IF(AND('Mapa final'!$M$49="Alta",'Mapa final'!$Q$49="Moderado"),CONCATENATE("R",'Mapa final'!$A$49),"")</f>
        <v/>
      </c>
      <c r="W18" s="446"/>
      <c r="X18" s="446" t="str">
        <f>IF(AND('Mapa final'!$M$55="Alta",'Mapa final'!$Q$55="Moderado"),CONCATENATE("R",'Mapa final'!$A$55),"")</f>
        <v/>
      </c>
      <c r="Y18" s="446"/>
      <c r="Z18" s="446" t="str">
        <f>IF(AND('Mapa final'!$M$61="Alta",'Mapa final'!$Q$61="Moderado"),CONCATENATE("R",'Mapa final'!$A$61),"")</f>
        <v/>
      </c>
      <c r="AA18" s="447"/>
      <c r="AB18" s="450" t="str">
        <f>IF(AND('Mapa final'!$M$49="Alta",'Mapa final'!$Q$49="Mayor"),CONCATENATE("R",'Mapa final'!$A$49),"")</f>
        <v/>
      </c>
      <c r="AC18" s="446"/>
      <c r="AD18" s="446" t="str">
        <f>IF(AND('Mapa final'!$M$55="Alta",'Mapa final'!$Q$55="Mayor"),CONCATENATE("R",'Mapa final'!$A$55),"")</f>
        <v/>
      </c>
      <c r="AE18" s="446"/>
      <c r="AF18" s="446" t="str">
        <f>IF(AND('Mapa final'!$M$61="Alta",'Mapa final'!$Q$61="Mayor"),CONCATENATE("R",'Mapa final'!$A$61),"")</f>
        <v/>
      </c>
      <c r="AG18" s="447"/>
      <c r="AH18" s="457" t="str">
        <f>IF(AND('Mapa final'!$M$49="Alta",'Mapa final'!$Q$49="Catastrófico"),CONCATENATE("R",'Mapa final'!$A$49),"")</f>
        <v/>
      </c>
      <c r="AI18" s="458"/>
      <c r="AJ18" s="458" t="str">
        <f>IF(AND('Mapa final'!$M$55="Alta",'Mapa final'!$Q$55="Catastrófico"),CONCATENATE("R",'Mapa final'!$A$55),"")</f>
        <v/>
      </c>
      <c r="AK18" s="458"/>
      <c r="AL18" s="458" t="str">
        <f>IF(AND('Mapa final'!$M$61="Alta",'Mapa final'!$Q$61="Catastrófico"),CONCATENATE("R",'Mapa final'!$A$61),"")</f>
        <v/>
      </c>
      <c r="AM18" s="459"/>
      <c r="AN18" s="69"/>
      <c r="AO18" s="413"/>
      <c r="AP18" s="414"/>
      <c r="AQ18" s="414"/>
      <c r="AR18" s="414"/>
      <c r="AS18" s="414"/>
      <c r="AT18" s="415"/>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25">
      <c r="A19" s="69"/>
      <c r="B19" s="399"/>
      <c r="C19" s="399"/>
      <c r="D19" s="400"/>
      <c r="E19" s="440"/>
      <c r="F19" s="441"/>
      <c r="G19" s="441"/>
      <c r="H19" s="441"/>
      <c r="I19" s="441"/>
      <c r="J19" s="466"/>
      <c r="K19" s="467"/>
      <c r="L19" s="467"/>
      <c r="M19" s="467"/>
      <c r="N19" s="467"/>
      <c r="O19" s="468"/>
      <c r="P19" s="466"/>
      <c r="Q19" s="467"/>
      <c r="R19" s="467"/>
      <c r="S19" s="467"/>
      <c r="T19" s="467"/>
      <c r="U19" s="468"/>
      <c r="V19" s="450"/>
      <c r="W19" s="446"/>
      <c r="X19" s="446"/>
      <c r="Y19" s="446"/>
      <c r="Z19" s="446"/>
      <c r="AA19" s="447"/>
      <c r="AB19" s="450"/>
      <c r="AC19" s="446"/>
      <c r="AD19" s="446"/>
      <c r="AE19" s="446"/>
      <c r="AF19" s="446"/>
      <c r="AG19" s="447"/>
      <c r="AH19" s="457"/>
      <c r="AI19" s="458"/>
      <c r="AJ19" s="458"/>
      <c r="AK19" s="458"/>
      <c r="AL19" s="458"/>
      <c r="AM19" s="459"/>
      <c r="AN19" s="69"/>
      <c r="AO19" s="413"/>
      <c r="AP19" s="414"/>
      <c r="AQ19" s="414"/>
      <c r="AR19" s="414"/>
      <c r="AS19" s="414"/>
      <c r="AT19" s="415"/>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25">
      <c r="A20" s="69"/>
      <c r="B20" s="399"/>
      <c r="C20" s="399"/>
      <c r="D20" s="400"/>
      <c r="E20" s="440"/>
      <c r="F20" s="441"/>
      <c r="G20" s="441"/>
      <c r="H20" s="441"/>
      <c r="I20" s="441"/>
      <c r="J20" s="466" t="str">
        <f>IF(AND('Mapa final'!$M$67="Alta",'Mapa final'!$Q$67="Leve"),CONCATENATE("R",'Mapa final'!$A$67),"")</f>
        <v/>
      </c>
      <c r="K20" s="467"/>
      <c r="L20" s="467" t="str">
        <f>IF(AND('Mapa final'!$M$73="Alta",'Mapa final'!$Q$73="Leve"),CONCATENATE("R",'Mapa final'!$A$73),"")</f>
        <v/>
      </c>
      <c r="M20" s="467"/>
      <c r="N20" s="467" t="str">
        <f>IF(AND('Mapa final'!$M$79="Alta",'Mapa final'!$Q$79="Leve"),CONCATENATE("R",'Mapa final'!$A$79),"")</f>
        <v/>
      </c>
      <c r="O20" s="468"/>
      <c r="P20" s="466" t="str">
        <f>IF(AND('Mapa final'!$M$67="Alta",'Mapa final'!$Q$67="Menor"),CONCATENATE("R",'Mapa final'!$A$67),"")</f>
        <v/>
      </c>
      <c r="Q20" s="467"/>
      <c r="R20" s="467" t="str">
        <f>IF(AND('Mapa final'!$M$73="Alta",'Mapa final'!$Q$73="Menor"),CONCATENATE("R",'Mapa final'!$A$73),"")</f>
        <v/>
      </c>
      <c r="S20" s="467"/>
      <c r="T20" s="467" t="str">
        <f>IF(AND('Mapa final'!$M$79="Alta",'Mapa final'!$Q$79="Menor"),CONCATENATE("R",'Mapa final'!$A$79),"")</f>
        <v/>
      </c>
      <c r="U20" s="468"/>
      <c r="V20" s="450" t="str">
        <f>IF(AND('Mapa final'!$M$67="Alta",'Mapa final'!$Q$67="Moderado"),CONCATENATE("R",'Mapa final'!$A$67),"")</f>
        <v/>
      </c>
      <c r="W20" s="446"/>
      <c r="X20" s="446" t="str">
        <f>IF(AND('Mapa final'!$M$73="Alta",'Mapa final'!$Q$73="Moderado"),CONCATENATE("R",'Mapa final'!$A$73),"")</f>
        <v/>
      </c>
      <c r="Y20" s="446"/>
      <c r="Z20" s="446" t="str">
        <f>IF(AND('Mapa final'!$M$79="Alta",'Mapa final'!$Q$79="Moderado"),CONCATENATE("R",'Mapa final'!$A$79),"")</f>
        <v/>
      </c>
      <c r="AA20" s="447"/>
      <c r="AB20" s="450" t="str">
        <f>IF(AND('Mapa final'!$M$67="Alta",'Mapa final'!$Q$67="Mayor"),CONCATENATE("R",'Mapa final'!$A$67),"")</f>
        <v/>
      </c>
      <c r="AC20" s="446"/>
      <c r="AD20" s="446" t="str">
        <f>IF(AND('Mapa final'!$M$73="Alta",'Mapa final'!$Q$73="Mayor"),CONCATENATE("R",'Mapa final'!$A$73),"")</f>
        <v/>
      </c>
      <c r="AE20" s="446"/>
      <c r="AF20" s="446" t="str">
        <f>IF(AND('Mapa final'!$M$79="Alta",'Mapa final'!$Q$79="Mayor"),CONCATENATE("R",'Mapa final'!$A$79),"")</f>
        <v/>
      </c>
      <c r="AG20" s="447"/>
      <c r="AH20" s="457" t="str">
        <f>IF(AND('Mapa final'!$M$67="Alta",'Mapa final'!$Q$67="Catastrófico"),CONCATENATE("R",'Mapa final'!$A$67),"")</f>
        <v/>
      </c>
      <c r="AI20" s="458"/>
      <c r="AJ20" s="458" t="str">
        <f>IF(AND('Mapa final'!$M$73="Alta",'Mapa final'!$Q$73="Catastrófico"),CONCATENATE("R",'Mapa final'!$A$73),"")</f>
        <v/>
      </c>
      <c r="AK20" s="458"/>
      <c r="AL20" s="458" t="str">
        <f>IF(AND('Mapa final'!$M$79="Alta",'Mapa final'!$Q$79="Catastrófico"),CONCATENATE("R",'Mapa final'!$A$79),"")</f>
        <v/>
      </c>
      <c r="AM20" s="459"/>
      <c r="AN20" s="69"/>
      <c r="AO20" s="413"/>
      <c r="AP20" s="414"/>
      <c r="AQ20" s="414"/>
      <c r="AR20" s="414"/>
      <c r="AS20" s="414"/>
      <c r="AT20" s="415"/>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
      <c r="A21" s="69"/>
      <c r="B21" s="399"/>
      <c r="C21" s="399"/>
      <c r="D21" s="400"/>
      <c r="E21" s="443"/>
      <c r="F21" s="444"/>
      <c r="G21" s="444"/>
      <c r="H21" s="444"/>
      <c r="I21" s="444"/>
      <c r="J21" s="469"/>
      <c r="K21" s="470"/>
      <c r="L21" s="470"/>
      <c r="M21" s="470"/>
      <c r="N21" s="470"/>
      <c r="O21" s="471"/>
      <c r="P21" s="469"/>
      <c r="Q21" s="470"/>
      <c r="R21" s="470"/>
      <c r="S21" s="470"/>
      <c r="T21" s="470"/>
      <c r="U21" s="471"/>
      <c r="V21" s="454"/>
      <c r="W21" s="455"/>
      <c r="X21" s="455"/>
      <c r="Y21" s="455"/>
      <c r="Z21" s="455"/>
      <c r="AA21" s="456"/>
      <c r="AB21" s="454"/>
      <c r="AC21" s="455"/>
      <c r="AD21" s="455"/>
      <c r="AE21" s="455"/>
      <c r="AF21" s="455"/>
      <c r="AG21" s="456"/>
      <c r="AH21" s="460"/>
      <c r="AI21" s="461"/>
      <c r="AJ21" s="461"/>
      <c r="AK21" s="461"/>
      <c r="AL21" s="461"/>
      <c r="AM21" s="462"/>
      <c r="AN21" s="69"/>
      <c r="AO21" s="416"/>
      <c r="AP21" s="417"/>
      <c r="AQ21" s="417"/>
      <c r="AR21" s="417"/>
      <c r="AS21" s="417"/>
      <c r="AT21" s="418"/>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25">
      <c r="A22" s="69"/>
      <c r="B22" s="399"/>
      <c r="C22" s="399"/>
      <c r="D22" s="400"/>
      <c r="E22" s="437" t="s">
        <v>117</v>
      </c>
      <c r="F22" s="438"/>
      <c r="G22" s="438"/>
      <c r="H22" s="438"/>
      <c r="I22" s="439"/>
      <c r="J22" s="472" t="str">
        <f>IF(AND('Mapa final'!$M$13="Media",'Mapa final'!$Q$13="Leve"),CONCATENATE("R",'Mapa final'!$A$13),"")</f>
        <v/>
      </c>
      <c r="K22" s="473"/>
      <c r="L22" s="473" t="str">
        <f>IF(AND('Mapa final'!$M$19="Media",'Mapa final'!$Q$19="Leve"),CONCATENATE("R",'Mapa final'!$A$19),"")</f>
        <v/>
      </c>
      <c r="M22" s="473"/>
      <c r="N22" s="473" t="str">
        <f>IF(AND('Mapa final'!$M$25="Media",'Mapa final'!$Q$25="Leve"),CONCATENATE("R",'Mapa final'!$A$25),"")</f>
        <v/>
      </c>
      <c r="O22" s="474"/>
      <c r="P22" s="472" t="str">
        <f>IF(AND('Mapa final'!$M$13="Media",'Mapa final'!$Q$13="Menor"),CONCATENATE("R",'Mapa final'!$A$13),"")</f>
        <v/>
      </c>
      <c r="Q22" s="473"/>
      <c r="R22" s="473" t="str">
        <f>IF(AND('Mapa final'!$M$19="Media",'Mapa final'!$Q$19="Menor"),CONCATENATE("R",'Mapa final'!$A$19),"")</f>
        <v/>
      </c>
      <c r="S22" s="473"/>
      <c r="T22" s="473" t="str">
        <f>IF(AND('Mapa final'!$M$25="Media",'Mapa final'!$Q$25="Menor"),CONCATENATE("R",'Mapa final'!$A$25),"")</f>
        <v/>
      </c>
      <c r="U22" s="474"/>
      <c r="V22" s="472" t="str">
        <f>IF(AND('Mapa final'!$M$13="Media",'Mapa final'!$Q$13="Moderado"),CONCATENATE("R",'Mapa final'!$A$13),"")</f>
        <v/>
      </c>
      <c r="W22" s="473"/>
      <c r="X22" s="473" t="str">
        <f>IF(AND('Mapa final'!$M$19="Media",'Mapa final'!$Q$19="Moderado"),CONCATENATE("R",'Mapa final'!$A$19),"")</f>
        <v/>
      </c>
      <c r="Y22" s="473"/>
      <c r="Z22" s="473" t="str">
        <f>IF(AND('Mapa final'!$M$25="Media",'Mapa final'!$Q$25="Moderado"),CONCATENATE("R",'Mapa final'!$A$25),"")</f>
        <v/>
      </c>
      <c r="AA22" s="474"/>
      <c r="AB22" s="448" t="str">
        <f>IF(AND('Mapa final'!$M$13="Media",'Mapa final'!$Q$13="Mayor"),CONCATENATE("R",'Mapa final'!$A$13),"")</f>
        <v/>
      </c>
      <c r="AC22" s="449"/>
      <c r="AD22" s="449" t="str">
        <f>IF(AND('Mapa final'!$M$19="Media",'Mapa final'!$Q$19="Mayor"),CONCATENATE("R",'Mapa final'!$A$19),"")</f>
        <v/>
      </c>
      <c r="AE22" s="449"/>
      <c r="AF22" s="449" t="str">
        <f>IF(AND('Mapa final'!$M$25="Media",'Mapa final'!$Q$25="Mayor"),CONCATENATE("R",'Mapa final'!$A$25),"")</f>
        <v/>
      </c>
      <c r="AG22" s="451"/>
      <c r="AH22" s="463" t="str">
        <f>IF(AND('Mapa final'!$M$13="Media",'Mapa final'!$Q$13="Catastrófico"),CONCATENATE("R",'Mapa final'!$A$13),"")</f>
        <v/>
      </c>
      <c r="AI22" s="464"/>
      <c r="AJ22" s="464" t="str">
        <f>IF(AND('Mapa final'!$M$19="Media",'Mapa final'!$Q$19="Catastrófico"),CONCATENATE("R",'Mapa final'!$A$19),"")</f>
        <v/>
      </c>
      <c r="AK22" s="464"/>
      <c r="AL22" s="464" t="str">
        <f>IF(AND('Mapa final'!$M$25="Media",'Mapa final'!$Q$25="Catastrófico"),CONCATENATE("R",'Mapa final'!$A$25),"")</f>
        <v/>
      </c>
      <c r="AM22" s="465"/>
      <c r="AN22" s="69"/>
      <c r="AO22" s="419" t="s">
        <v>81</v>
      </c>
      <c r="AP22" s="420"/>
      <c r="AQ22" s="420"/>
      <c r="AR22" s="420"/>
      <c r="AS22" s="420"/>
      <c r="AT22" s="421"/>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25">
      <c r="A23" s="69"/>
      <c r="B23" s="399"/>
      <c r="C23" s="399"/>
      <c r="D23" s="400"/>
      <c r="E23" s="440"/>
      <c r="F23" s="441"/>
      <c r="G23" s="441"/>
      <c r="H23" s="441"/>
      <c r="I23" s="442"/>
      <c r="J23" s="466"/>
      <c r="K23" s="467"/>
      <c r="L23" s="467"/>
      <c r="M23" s="467"/>
      <c r="N23" s="467"/>
      <c r="O23" s="468"/>
      <c r="P23" s="466"/>
      <c r="Q23" s="467"/>
      <c r="R23" s="467"/>
      <c r="S23" s="467"/>
      <c r="T23" s="467"/>
      <c r="U23" s="468"/>
      <c r="V23" s="466"/>
      <c r="W23" s="467"/>
      <c r="X23" s="467"/>
      <c r="Y23" s="467"/>
      <c r="Z23" s="467"/>
      <c r="AA23" s="468"/>
      <c r="AB23" s="450"/>
      <c r="AC23" s="446"/>
      <c r="AD23" s="446"/>
      <c r="AE23" s="446"/>
      <c r="AF23" s="446"/>
      <c r="AG23" s="447"/>
      <c r="AH23" s="457"/>
      <c r="AI23" s="458"/>
      <c r="AJ23" s="458"/>
      <c r="AK23" s="458"/>
      <c r="AL23" s="458"/>
      <c r="AM23" s="459"/>
      <c r="AN23" s="69"/>
      <c r="AO23" s="422"/>
      <c r="AP23" s="423"/>
      <c r="AQ23" s="423"/>
      <c r="AR23" s="423"/>
      <c r="AS23" s="423"/>
      <c r="AT23" s="424"/>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25">
      <c r="A24" s="69"/>
      <c r="B24" s="399"/>
      <c r="C24" s="399"/>
      <c r="D24" s="400"/>
      <c r="E24" s="440"/>
      <c r="F24" s="441"/>
      <c r="G24" s="441"/>
      <c r="H24" s="441"/>
      <c r="I24" s="442"/>
      <c r="J24" s="466" t="str">
        <f>IF(AND('Mapa final'!$M$31="Media",'Mapa final'!$Q$31="Leve"),CONCATENATE("R",'Mapa final'!$A$31),"")</f>
        <v/>
      </c>
      <c r="K24" s="467"/>
      <c r="L24" s="467" t="str">
        <f>IF(AND('Mapa final'!$M$37="Media",'Mapa final'!$Q$37="Leve"),CONCATENATE("R",'Mapa final'!$A$37),"")</f>
        <v/>
      </c>
      <c r="M24" s="467"/>
      <c r="N24" s="467" t="str">
        <f>IF(AND('Mapa final'!$M$43="Media",'Mapa final'!$Q$43="Leve"),CONCATENATE("R",'Mapa final'!$A$43),"")</f>
        <v/>
      </c>
      <c r="O24" s="468"/>
      <c r="P24" s="466" t="str">
        <f>IF(AND('Mapa final'!$M$31="Media",'Mapa final'!$Q$31="Menor"),CONCATENATE("R",'Mapa final'!$A$31),"")</f>
        <v/>
      </c>
      <c r="Q24" s="467"/>
      <c r="R24" s="467" t="str">
        <f>IF(AND('Mapa final'!$M$37="Media",'Mapa final'!$Q$37="Menor"),CONCATENATE("R",'Mapa final'!$A$37),"")</f>
        <v/>
      </c>
      <c r="S24" s="467"/>
      <c r="T24" s="467" t="str">
        <f>IF(AND('Mapa final'!$M$43="Media",'Mapa final'!$Q$43="Menor"),CONCATENATE("R",'Mapa final'!$A$43),"")</f>
        <v/>
      </c>
      <c r="U24" s="468"/>
      <c r="V24" s="466" t="str">
        <f>IF(AND('Mapa final'!$M$31="Media",'Mapa final'!$Q$31="Moderado"),CONCATENATE("R",'Mapa final'!$A$31),"")</f>
        <v/>
      </c>
      <c r="W24" s="467"/>
      <c r="X24" s="467" t="str">
        <f>IF(AND('Mapa final'!$M$37="Media",'Mapa final'!$Q$37="Moderado"),CONCATENATE("R",'Mapa final'!$A$37),"")</f>
        <v/>
      </c>
      <c r="Y24" s="467"/>
      <c r="Z24" s="467" t="str">
        <f>IF(AND('Mapa final'!$M$43="Media",'Mapa final'!$Q$43="Moderado"),CONCATENATE("R",'Mapa final'!$A$43),"")</f>
        <v/>
      </c>
      <c r="AA24" s="468"/>
      <c r="AB24" s="450" t="str">
        <f>IF(AND('Mapa final'!$M$31="Media",'Mapa final'!$Q$31="Mayor"),CONCATENATE("R",'Mapa final'!$A$31),"")</f>
        <v/>
      </c>
      <c r="AC24" s="446"/>
      <c r="AD24" s="446" t="str">
        <f>IF(AND('Mapa final'!$M$37="Media",'Mapa final'!$Q$37="Mayor"),CONCATENATE("R",'Mapa final'!$A$37),"")</f>
        <v/>
      </c>
      <c r="AE24" s="446"/>
      <c r="AF24" s="446" t="str">
        <f>IF(AND('Mapa final'!$M$43="Media",'Mapa final'!$Q$43="Mayor"),CONCATENATE("R",'Mapa final'!$A$43),"")</f>
        <v/>
      </c>
      <c r="AG24" s="447"/>
      <c r="AH24" s="457" t="str">
        <f>IF(AND('Mapa final'!$M$31="Media",'Mapa final'!$Q$31="Catastrófico"),CONCATENATE("R",'Mapa final'!$A$31),"")</f>
        <v/>
      </c>
      <c r="AI24" s="458"/>
      <c r="AJ24" s="458" t="str">
        <f>IF(AND('Mapa final'!$M$37="Media",'Mapa final'!$Q$37="Catastrófico"),CONCATENATE("R",'Mapa final'!$A$37),"")</f>
        <v/>
      </c>
      <c r="AK24" s="458"/>
      <c r="AL24" s="458" t="str">
        <f>IF(AND('Mapa final'!$M$43="Media",'Mapa final'!$Q$43="Catastrófico"),CONCATENATE("R",'Mapa final'!$A$43),"")</f>
        <v/>
      </c>
      <c r="AM24" s="459"/>
      <c r="AN24" s="69"/>
      <c r="AO24" s="422"/>
      <c r="AP24" s="423"/>
      <c r="AQ24" s="423"/>
      <c r="AR24" s="423"/>
      <c r="AS24" s="423"/>
      <c r="AT24" s="424"/>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25">
      <c r="A25" s="69"/>
      <c r="B25" s="399"/>
      <c r="C25" s="399"/>
      <c r="D25" s="400"/>
      <c r="E25" s="440"/>
      <c r="F25" s="441"/>
      <c r="G25" s="441"/>
      <c r="H25" s="441"/>
      <c r="I25" s="442"/>
      <c r="J25" s="466"/>
      <c r="K25" s="467"/>
      <c r="L25" s="467"/>
      <c r="M25" s="467"/>
      <c r="N25" s="467"/>
      <c r="O25" s="468"/>
      <c r="P25" s="466"/>
      <c r="Q25" s="467"/>
      <c r="R25" s="467"/>
      <c r="S25" s="467"/>
      <c r="T25" s="467"/>
      <c r="U25" s="468"/>
      <c r="V25" s="466"/>
      <c r="W25" s="467"/>
      <c r="X25" s="467"/>
      <c r="Y25" s="467"/>
      <c r="Z25" s="467"/>
      <c r="AA25" s="468"/>
      <c r="AB25" s="450"/>
      <c r="AC25" s="446"/>
      <c r="AD25" s="446"/>
      <c r="AE25" s="446"/>
      <c r="AF25" s="446"/>
      <c r="AG25" s="447"/>
      <c r="AH25" s="457"/>
      <c r="AI25" s="458"/>
      <c r="AJ25" s="458"/>
      <c r="AK25" s="458"/>
      <c r="AL25" s="458"/>
      <c r="AM25" s="459"/>
      <c r="AN25" s="69"/>
      <c r="AO25" s="422"/>
      <c r="AP25" s="423"/>
      <c r="AQ25" s="423"/>
      <c r="AR25" s="423"/>
      <c r="AS25" s="423"/>
      <c r="AT25" s="424"/>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25">
      <c r="A26" s="69"/>
      <c r="B26" s="399"/>
      <c r="C26" s="399"/>
      <c r="D26" s="400"/>
      <c r="E26" s="440"/>
      <c r="F26" s="441"/>
      <c r="G26" s="441"/>
      <c r="H26" s="441"/>
      <c r="I26" s="442"/>
      <c r="J26" s="466" t="str">
        <f>IF(AND('Mapa final'!$M$49="Media",'Mapa final'!$Q$49="Leve"),CONCATENATE("R",'Mapa final'!$A$49),"")</f>
        <v/>
      </c>
      <c r="K26" s="467"/>
      <c r="L26" s="467" t="str">
        <f>IF(AND('Mapa final'!$M$55="Media",'Mapa final'!$Q$55="Leve"),CONCATENATE("R",'Mapa final'!$A$55),"")</f>
        <v/>
      </c>
      <c r="M26" s="467"/>
      <c r="N26" s="467" t="str">
        <f>IF(AND('Mapa final'!$M$61="Media",'Mapa final'!$Q$61="Leve"),CONCATENATE("R",'Mapa final'!$A$61),"")</f>
        <v/>
      </c>
      <c r="O26" s="468"/>
      <c r="P26" s="466" t="str">
        <f>IF(AND('Mapa final'!$M$49="Media",'Mapa final'!$Q$49="Menor"),CONCATENATE("R",'Mapa final'!$A$49),"")</f>
        <v/>
      </c>
      <c r="Q26" s="467"/>
      <c r="R26" s="467" t="str">
        <f>IF(AND('Mapa final'!$M$55="Media",'Mapa final'!$Q$55="Menor"),CONCATENATE("R",'Mapa final'!$A$55),"")</f>
        <v/>
      </c>
      <c r="S26" s="467"/>
      <c r="T26" s="467" t="str">
        <f>IF(AND('Mapa final'!$M$61="Media",'Mapa final'!$Q$61="Menor"),CONCATENATE("R",'Mapa final'!$A$61),"")</f>
        <v/>
      </c>
      <c r="U26" s="468"/>
      <c r="V26" s="466" t="str">
        <f>IF(AND('Mapa final'!$M$49="Media",'Mapa final'!$Q$49="Moderado"),CONCATENATE("R",'Mapa final'!$A$49),"")</f>
        <v/>
      </c>
      <c r="W26" s="467"/>
      <c r="X26" s="467" t="str">
        <f>IF(AND('Mapa final'!$M$55="Media",'Mapa final'!$Q$55="Moderado"),CONCATENATE("R",'Mapa final'!$A$55),"")</f>
        <v/>
      </c>
      <c r="Y26" s="467"/>
      <c r="Z26" s="467" t="str">
        <f>IF(AND('Mapa final'!$M$61="Media",'Mapa final'!$Q$61="Moderado"),CONCATENATE("R",'Mapa final'!$A$61),"")</f>
        <v/>
      </c>
      <c r="AA26" s="468"/>
      <c r="AB26" s="450" t="str">
        <f>IF(AND('Mapa final'!$M$49="Media",'Mapa final'!$Q$49="Mayor"),CONCATENATE("R",'Mapa final'!$A$49),"")</f>
        <v/>
      </c>
      <c r="AC26" s="446"/>
      <c r="AD26" s="446" t="str">
        <f>IF(AND('Mapa final'!$M$55="Media",'Mapa final'!$Q$55="Mayor"),CONCATENATE("R",'Mapa final'!$A$55),"")</f>
        <v/>
      </c>
      <c r="AE26" s="446"/>
      <c r="AF26" s="446" t="str">
        <f>IF(AND('Mapa final'!$M$61="Media",'Mapa final'!$Q$61="Mayor"),CONCATENATE("R",'Mapa final'!$A$61),"")</f>
        <v/>
      </c>
      <c r="AG26" s="447"/>
      <c r="AH26" s="457" t="str">
        <f>IF(AND('Mapa final'!$M$49="Media",'Mapa final'!$Q$49="Catastrófico"),CONCATENATE("R",'Mapa final'!$A$49),"")</f>
        <v/>
      </c>
      <c r="AI26" s="458"/>
      <c r="AJ26" s="458" t="str">
        <f>IF(AND('Mapa final'!$M$55="Media",'Mapa final'!$Q$55="Catastrófico"),CONCATENATE("R",'Mapa final'!$A$55),"")</f>
        <v/>
      </c>
      <c r="AK26" s="458"/>
      <c r="AL26" s="458" t="str">
        <f>IF(AND('Mapa final'!$M$61="Media",'Mapa final'!$Q$61="Catastrófico"),CONCATENATE("R",'Mapa final'!$A$61),"")</f>
        <v/>
      </c>
      <c r="AM26" s="459"/>
      <c r="AN26" s="69"/>
      <c r="AO26" s="422"/>
      <c r="AP26" s="423"/>
      <c r="AQ26" s="423"/>
      <c r="AR26" s="423"/>
      <c r="AS26" s="423"/>
      <c r="AT26" s="424"/>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25">
      <c r="A27" s="69"/>
      <c r="B27" s="399"/>
      <c r="C27" s="399"/>
      <c r="D27" s="400"/>
      <c r="E27" s="440"/>
      <c r="F27" s="441"/>
      <c r="G27" s="441"/>
      <c r="H27" s="441"/>
      <c r="I27" s="442"/>
      <c r="J27" s="466"/>
      <c r="K27" s="467"/>
      <c r="L27" s="467"/>
      <c r="M27" s="467"/>
      <c r="N27" s="467"/>
      <c r="O27" s="468"/>
      <c r="P27" s="466"/>
      <c r="Q27" s="467"/>
      <c r="R27" s="467"/>
      <c r="S27" s="467"/>
      <c r="T27" s="467"/>
      <c r="U27" s="468"/>
      <c r="V27" s="466"/>
      <c r="W27" s="467"/>
      <c r="X27" s="467"/>
      <c r="Y27" s="467"/>
      <c r="Z27" s="467"/>
      <c r="AA27" s="468"/>
      <c r="AB27" s="450"/>
      <c r="AC27" s="446"/>
      <c r="AD27" s="446"/>
      <c r="AE27" s="446"/>
      <c r="AF27" s="446"/>
      <c r="AG27" s="447"/>
      <c r="AH27" s="457"/>
      <c r="AI27" s="458"/>
      <c r="AJ27" s="458"/>
      <c r="AK27" s="458"/>
      <c r="AL27" s="458"/>
      <c r="AM27" s="459"/>
      <c r="AN27" s="69"/>
      <c r="AO27" s="422"/>
      <c r="AP27" s="423"/>
      <c r="AQ27" s="423"/>
      <c r="AR27" s="423"/>
      <c r="AS27" s="423"/>
      <c r="AT27" s="424"/>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25">
      <c r="A28" s="69"/>
      <c r="B28" s="399"/>
      <c r="C28" s="399"/>
      <c r="D28" s="400"/>
      <c r="E28" s="440"/>
      <c r="F28" s="441"/>
      <c r="G28" s="441"/>
      <c r="H28" s="441"/>
      <c r="I28" s="442"/>
      <c r="J28" s="466" t="str">
        <f>IF(AND('Mapa final'!$M$67="Media",'Mapa final'!$Q$67="Leve"),CONCATENATE("R",'Mapa final'!$A$67),"")</f>
        <v/>
      </c>
      <c r="K28" s="467"/>
      <c r="L28" s="467" t="str">
        <f>IF(AND('Mapa final'!$M$73="Media",'Mapa final'!$Q$73="Leve"),CONCATENATE("R",'Mapa final'!$A$73),"")</f>
        <v/>
      </c>
      <c r="M28" s="467"/>
      <c r="N28" s="467" t="str">
        <f>IF(AND('Mapa final'!$M$79="Media",'Mapa final'!$Q$79="Leve"),CONCATENATE("R",'Mapa final'!$A$79),"")</f>
        <v/>
      </c>
      <c r="O28" s="468"/>
      <c r="P28" s="466" t="str">
        <f>IF(AND('Mapa final'!$M$67="Media",'Mapa final'!$Q$67="Menor"),CONCATENATE("R",'Mapa final'!$A$67),"")</f>
        <v/>
      </c>
      <c r="Q28" s="467"/>
      <c r="R28" s="467" t="str">
        <f>IF(AND('Mapa final'!$M$73="Media",'Mapa final'!$Q$73="Menor"),CONCATENATE("R",'Mapa final'!$A$73),"")</f>
        <v/>
      </c>
      <c r="S28" s="467"/>
      <c r="T28" s="467" t="str">
        <f>IF(AND('Mapa final'!$M$79="Media",'Mapa final'!$Q$79="Menor"),CONCATENATE("R",'Mapa final'!$A$79),"")</f>
        <v/>
      </c>
      <c r="U28" s="468"/>
      <c r="V28" s="466" t="str">
        <f>IF(AND('Mapa final'!$M$67="Media",'Mapa final'!$Q$67="Moderado"),CONCATENATE("R",'Mapa final'!$A$67),"")</f>
        <v/>
      </c>
      <c r="W28" s="467"/>
      <c r="X28" s="467" t="str">
        <f>IF(AND('Mapa final'!$M$73="Media",'Mapa final'!$Q$73="Moderado"),CONCATENATE("R",'Mapa final'!$A$73),"")</f>
        <v/>
      </c>
      <c r="Y28" s="467"/>
      <c r="Z28" s="467" t="str">
        <f>IF(AND('Mapa final'!$M$79="Media",'Mapa final'!$Q$79="Moderado"),CONCATENATE("R",'Mapa final'!$A$79),"")</f>
        <v/>
      </c>
      <c r="AA28" s="468"/>
      <c r="AB28" s="450" t="str">
        <f>IF(AND('Mapa final'!$M$67="Media",'Mapa final'!$Q$67="Mayor"),CONCATENATE("R",'Mapa final'!$A$67),"")</f>
        <v/>
      </c>
      <c r="AC28" s="446"/>
      <c r="AD28" s="446" t="str">
        <f>IF(AND('Mapa final'!$M$73="Media",'Mapa final'!$Q$73="Mayor"),CONCATENATE("R",'Mapa final'!$A$73),"")</f>
        <v/>
      </c>
      <c r="AE28" s="446"/>
      <c r="AF28" s="446" t="str">
        <f>IF(AND('Mapa final'!$M$79="Media",'Mapa final'!$Q$79="Mayor"),CONCATENATE("R",'Mapa final'!$A$79),"")</f>
        <v/>
      </c>
      <c r="AG28" s="447"/>
      <c r="AH28" s="457" t="str">
        <f>IF(AND('Mapa final'!$M$67="Media",'Mapa final'!$Q$67="Catastrófico"),CONCATENATE("R",'Mapa final'!$A$67),"")</f>
        <v/>
      </c>
      <c r="AI28" s="458"/>
      <c r="AJ28" s="458" t="str">
        <f>IF(AND('Mapa final'!$M$73="Media",'Mapa final'!$Q$73="Catastrófico"),CONCATENATE("R",'Mapa final'!$A$73),"")</f>
        <v/>
      </c>
      <c r="AK28" s="458"/>
      <c r="AL28" s="458" t="str">
        <f>IF(AND('Mapa final'!$M$79="Media",'Mapa final'!$Q$79="Catastrófico"),CONCATENATE("R",'Mapa final'!$A$79),"")</f>
        <v/>
      </c>
      <c r="AM28" s="459"/>
      <c r="AN28" s="69"/>
      <c r="AO28" s="422"/>
      <c r="AP28" s="423"/>
      <c r="AQ28" s="423"/>
      <c r="AR28" s="423"/>
      <c r="AS28" s="423"/>
      <c r="AT28" s="424"/>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75" thickBot="1" x14ac:dyDescent="0.3">
      <c r="A29" s="69"/>
      <c r="B29" s="399"/>
      <c r="C29" s="399"/>
      <c r="D29" s="400"/>
      <c r="E29" s="443"/>
      <c r="F29" s="444"/>
      <c r="G29" s="444"/>
      <c r="H29" s="444"/>
      <c r="I29" s="445"/>
      <c r="J29" s="466"/>
      <c r="K29" s="467"/>
      <c r="L29" s="467"/>
      <c r="M29" s="467"/>
      <c r="N29" s="467"/>
      <c r="O29" s="468"/>
      <c r="P29" s="469"/>
      <c r="Q29" s="470"/>
      <c r="R29" s="470"/>
      <c r="S29" s="470"/>
      <c r="T29" s="470"/>
      <c r="U29" s="471"/>
      <c r="V29" s="469"/>
      <c r="W29" s="470"/>
      <c r="X29" s="470"/>
      <c r="Y29" s="470"/>
      <c r="Z29" s="470"/>
      <c r="AA29" s="471"/>
      <c r="AB29" s="454"/>
      <c r="AC29" s="455"/>
      <c r="AD29" s="455"/>
      <c r="AE29" s="455"/>
      <c r="AF29" s="455"/>
      <c r="AG29" s="456"/>
      <c r="AH29" s="460"/>
      <c r="AI29" s="461"/>
      <c r="AJ29" s="461"/>
      <c r="AK29" s="461"/>
      <c r="AL29" s="461"/>
      <c r="AM29" s="462"/>
      <c r="AN29" s="69"/>
      <c r="AO29" s="425"/>
      <c r="AP29" s="426"/>
      <c r="AQ29" s="426"/>
      <c r="AR29" s="426"/>
      <c r="AS29" s="426"/>
      <c r="AT29" s="427"/>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25">
      <c r="A30" s="69"/>
      <c r="B30" s="399"/>
      <c r="C30" s="399"/>
      <c r="D30" s="400"/>
      <c r="E30" s="437" t="s">
        <v>114</v>
      </c>
      <c r="F30" s="438"/>
      <c r="G30" s="438"/>
      <c r="H30" s="438"/>
      <c r="I30" s="438"/>
      <c r="J30" s="481" t="str">
        <f>IF(AND('Mapa final'!$M$13="Baja",'Mapa final'!$Q$13="Leve"),CONCATENATE("R",'Mapa final'!$A$13),"")</f>
        <v/>
      </c>
      <c r="K30" s="482"/>
      <c r="L30" s="482" t="str">
        <f>IF(AND('Mapa final'!$M$19="Baja",'Mapa final'!$Q$19="Leve"),CONCATENATE("R",'Mapa final'!$A$19),"")</f>
        <v/>
      </c>
      <c r="M30" s="482"/>
      <c r="N30" s="482" t="str">
        <f>IF(AND('Mapa final'!$M$25="Baja",'Mapa final'!$Q$25="Leve"),CONCATENATE("R",'Mapa final'!$A$25),"")</f>
        <v/>
      </c>
      <c r="O30" s="483"/>
      <c r="P30" s="473" t="str">
        <f>IF(AND('Mapa final'!$M$13="Baja",'Mapa final'!$Q$13="Menor"),CONCATENATE("R",'Mapa final'!$A$13),"")</f>
        <v/>
      </c>
      <c r="Q30" s="473"/>
      <c r="R30" s="473" t="str">
        <f>IF(AND('Mapa final'!$M$19="Baja",'Mapa final'!$Q$19="Menor"),CONCATENATE("R",'Mapa final'!$A$19),"")</f>
        <v/>
      </c>
      <c r="S30" s="473"/>
      <c r="T30" s="473" t="str">
        <f>IF(AND('Mapa final'!$M$25="Baja",'Mapa final'!$Q$25="Menor"),CONCATENATE("R",'Mapa final'!$A$25),"")</f>
        <v/>
      </c>
      <c r="U30" s="474"/>
      <c r="V30" s="472" t="str">
        <f>IF(AND('Mapa final'!$M$13="Baja",'Mapa final'!$Q$13="Moderado"),CONCATENATE("R",'Mapa final'!$A$13),"")</f>
        <v/>
      </c>
      <c r="W30" s="473"/>
      <c r="X30" s="473" t="str">
        <f>IF(AND('Mapa final'!$M$19="Baja",'Mapa final'!$Q$19="Moderado"),CONCATENATE("R",'Mapa final'!$A$19),"")</f>
        <v/>
      </c>
      <c r="Y30" s="473"/>
      <c r="Z30" s="473" t="str">
        <f>IF(AND('Mapa final'!$M$25="Baja",'Mapa final'!$Q$25="Moderado"),CONCATENATE("R",'Mapa final'!$A$25),"")</f>
        <v/>
      </c>
      <c r="AA30" s="474"/>
      <c r="AB30" s="448" t="str">
        <f>IF(AND('Mapa final'!$M$13="Baja",'Mapa final'!$Q$13="Mayor"),CONCATENATE("R",'Mapa final'!$A$13),"")</f>
        <v/>
      </c>
      <c r="AC30" s="449"/>
      <c r="AD30" s="449" t="str">
        <f>IF(AND('Mapa final'!$M$19="Baja",'Mapa final'!$Q$19="Mayor"),CONCATENATE("R",'Mapa final'!$A$19),"")</f>
        <v/>
      </c>
      <c r="AE30" s="449"/>
      <c r="AF30" s="449" t="str">
        <f>IF(AND('Mapa final'!$M$25="Baja",'Mapa final'!$Q$25="Mayor"),CONCATENATE("R",'Mapa final'!$A$25),"")</f>
        <v/>
      </c>
      <c r="AG30" s="451"/>
      <c r="AH30" s="463" t="str">
        <f>IF(AND('Mapa final'!$M$13="Baja",'Mapa final'!$Q$13="Catastrófico"),CONCATENATE("R",'Mapa final'!$A$13),"")</f>
        <v/>
      </c>
      <c r="AI30" s="464"/>
      <c r="AJ30" s="464" t="str">
        <f>IF(AND('Mapa final'!$M$19="Baja",'Mapa final'!$Q$19="Catastrófico"),CONCATENATE("R",'Mapa final'!$A$19),"")</f>
        <v/>
      </c>
      <c r="AK30" s="464"/>
      <c r="AL30" s="464" t="str">
        <f>IF(AND('Mapa final'!$M$25="Baja",'Mapa final'!$Q$25="Catastrófico"),CONCATENATE("R",'Mapa final'!$A$25),"")</f>
        <v/>
      </c>
      <c r="AM30" s="465"/>
      <c r="AN30" s="69"/>
      <c r="AO30" s="428" t="s">
        <v>82</v>
      </c>
      <c r="AP30" s="429"/>
      <c r="AQ30" s="429"/>
      <c r="AR30" s="429"/>
      <c r="AS30" s="429"/>
      <c r="AT30" s="430"/>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25">
      <c r="A31" s="69"/>
      <c r="B31" s="399"/>
      <c r="C31" s="399"/>
      <c r="D31" s="400"/>
      <c r="E31" s="440"/>
      <c r="F31" s="441"/>
      <c r="G31" s="441"/>
      <c r="H31" s="441"/>
      <c r="I31" s="441"/>
      <c r="J31" s="477"/>
      <c r="K31" s="475"/>
      <c r="L31" s="475"/>
      <c r="M31" s="475"/>
      <c r="N31" s="475"/>
      <c r="O31" s="476"/>
      <c r="P31" s="467"/>
      <c r="Q31" s="467"/>
      <c r="R31" s="467"/>
      <c r="S31" s="467"/>
      <c r="T31" s="467"/>
      <c r="U31" s="468"/>
      <c r="V31" s="466"/>
      <c r="W31" s="467"/>
      <c r="X31" s="467"/>
      <c r="Y31" s="467"/>
      <c r="Z31" s="467"/>
      <c r="AA31" s="468"/>
      <c r="AB31" s="450"/>
      <c r="AC31" s="446"/>
      <c r="AD31" s="446"/>
      <c r="AE31" s="446"/>
      <c r="AF31" s="446"/>
      <c r="AG31" s="447"/>
      <c r="AH31" s="457"/>
      <c r="AI31" s="458"/>
      <c r="AJ31" s="458"/>
      <c r="AK31" s="458"/>
      <c r="AL31" s="458"/>
      <c r="AM31" s="459"/>
      <c r="AN31" s="69"/>
      <c r="AO31" s="431"/>
      <c r="AP31" s="432"/>
      <c r="AQ31" s="432"/>
      <c r="AR31" s="432"/>
      <c r="AS31" s="432"/>
      <c r="AT31" s="433"/>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25">
      <c r="A32" s="69"/>
      <c r="B32" s="399"/>
      <c r="C32" s="399"/>
      <c r="D32" s="400"/>
      <c r="E32" s="440"/>
      <c r="F32" s="441"/>
      <c r="G32" s="441"/>
      <c r="H32" s="441"/>
      <c r="I32" s="441"/>
      <c r="J32" s="477" t="str">
        <f>IF(AND('Mapa final'!$M$31="Baja",'Mapa final'!$Q$31="Leve"),CONCATENATE("R",'Mapa final'!$A$31),"")</f>
        <v/>
      </c>
      <c r="K32" s="475"/>
      <c r="L32" s="475" t="str">
        <f>IF(AND('Mapa final'!$M$37="Baja",'Mapa final'!$Q$37="Leve"),CONCATENATE("R",'Mapa final'!$A$37),"")</f>
        <v/>
      </c>
      <c r="M32" s="475"/>
      <c r="N32" s="475" t="str">
        <f>IF(AND('Mapa final'!$M$43="Baja",'Mapa final'!$Q$43="Leve"),CONCATENATE("R",'Mapa final'!$A$43),"")</f>
        <v/>
      </c>
      <c r="O32" s="476"/>
      <c r="P32" s="467" t="str">
        <f>IF(AND('Mapa final'!$M$31="Baja",'Mapa final'!$Q$31="Menor"),CONCATENATE("R",'Mapa final'!$A$31),"")</f>
        <v/>
      </c>
      <c r="Q32" s="467"/>
      <c r="R32" s="467" t="str">
        <f>IF(AND('Mapa final'!$M$37="Baja",'Mapa final'!$Q$37="Menor"),CONCATENATE("R",'Mapa final'!$A$37),"")</f>
        <v/>
      </c>
      <c r="S32" s="467"/>
      <c r="T32" s="467" t="str">
        <f>IF(AND('Mapa final'!$M$43="Baja",'Mapa final'!$Q$43="Menor"),CONCATENATE("R",'Mapa final'!$A$43),"")</f>
        <v/>
      </c>
      <c r="U32" s="468"/>
      <c r="V32" s="466" t="str">
        <f>IF(AND('Mapa final'!$M$31="Baja",'Mapa final'!$Q$31="Moderado"),CONCATENATE("R",'Mapa final'!$A$31),"")</f>
        <v/>
      </c>
      <c r="W32" s="467"/>
      <c r="X32" s="467" t="str">
        <f>IF(AND('Mapa final'!$M$37="Baja",'Mapa final'!$Q$37="Moderado"),CONCATENATE("R",'Mapa final'!$A$37),"")</f>
        <v/>
      </c>
      <c r="Y32" s="467"/>
      <c r="Z32" s="467" t="str">
        <f>IF(AND('Mapa final'!$M$43="Baja",'Mapa final'!$Q$43="Moderado"),CONCATENATE("R",'Mapa final'!$A$43),"")</f>
        <v/>
      </c>
      <c r="AA32" s="468"/>
      <c r="AB32" s="450" t="str">
        <f>IF(AND('Mapa final'!$M$31="Baja",'Mapa final'!$Q$31="Mayor"),CONCATENATE("R",'Mapa final'!$A$31),"")</f>
        <v/>
      </c>
      <c r="AC32" s="446"/>
      <c r="AD32" s="446" t="str">
        <f>IF(AND('Mapa final'!$M$37="Baja",'Mapa final'!$Q$37="Mayor"),CONCATENATE("R",'Mapa final'!$A$37),"")</f>
        <v/>
      </c>
      <c r="AE32" s="446"/>
      <c r="AF32" s="446" t="str">
        <f>IF(AND('Mapa final'!$M$43="Baja",'Mapa final'!$Q$43="Mayor"),CONCATENATE("R",'Mapa final'!$A$43),"")</f>
        <v/>
      </c>
      <c r="AG32" s="447"/>
      <c r="AH32" s="457" t="str">
        <f>IF(AND('Mapa final'!$M$31="Baja",'Mapa final'!$Q$31="Catastrófico"),CONCATENATE("R",'Mapa final'!$A$31),"")</f>
        <v/>
      </c>
      <c r="AI32" s="458"/>
      <c r="AJ32" s="458" t="str">
        <f>IF(AND('Mapa final'!$M$37="Baja",'Mapa final'!$Q$37="Catastrófico"),CONCATENATE("R",'Mapa final'!$A$37),"")</f>
        <v/>
      </c>
      <c r="AK32" s="458"/>
      <c r="AL32" s="458" t="str">
        <f>IF(AND('Mapa final'!$M$43="Baja",'Mapa final'!$Q$43="Catastrófico"),CONCATENATE("R",'Mapa final'!$A$43),"")</f>
        <v/>
      </c>
      <c r="AM32" s="459"/>
      <c r="AN32" s="69"/>
      <c r="AO32" s="431"/>
      <c r="AP32" s="432"/>
      <c r="AQ32" s="432"/>
      <c r="AR32" s="432"/>
      <c r="AS32" s="432"/>
      <c r="AT32" s="433"/>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25">
      <c r="A33" s="69"/>
      <c r="B33" s="399"/>
      <c r="C33" s="399"/>
      <c r="D33" s="400"/>
      <c r="E33" s="440"/>
      <c r="F33" s="441"/>
      <c r="G33" s="441"/>
      <c r="H33" s="441"/>
      <c r="I33" s="441"/>
      <c r="J33" s="477"/>
      <c r="K33" s="475"/>
      <c r="L33" s="475"/>
      <c r="M33" s="475"/>
      <c r="N33" s="475"/>
      <c r="O33" s="476"/>
      <c r="P33" s="467"/>
      <c r="Q33" s="467"/>
      <c r="R33" s="467"/>
      <c r="S33" s="467"/>
      <c r="T33" s="467"/>
      <c r="U33" s="468"/>
      <c r="V33" s="466"/>
      <c r="W33" s="467"/>
      <c r="X33" s="467"/>
      <c r="Y33" s="467"/>
      <c r="Z33" s="467"/>
      <c r="AA33" s="468"/>
      <c r="AB33" s="450"/>
      <c r="AC33" s="446"/>
      <c r="AD33" s="446"/>
      <c r="AE33" s="446"/>
      <c r="AF33" s="446"/>
      <c r="AG33" s="447"/>
      <c r="AH33" s="457"/>
      <c r="AI33" s="458"/>
      <c r="AJ33" s="458"/>
      <c r="AK33" s="458"/>
      <c r="AL33" s="458"/>
      <c r="AM33" s="459"/>
      <c r="AN33" s="69"/>
      <c r="AO33" s="431"/>
      <c r="AP33" s="432"/>
      <c r="AQ33" s="432"/>
      <c r="AR33" s="432"/>
      <c r="AS33" s="432"/>
      <c r="AT33" s="433"/>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25">
      <c r="A34" s="69"/>
      <c r="B34" s="399"/>
      <c r="C34" s="399"/>
      <c r="D34" s="400"/>
      <c r="E34" s="440"/>
      <c r="F34" s="441"/>
      <c r="G34" s="441"/>
      <c r="H34" s="441"/>
      <c r="I34" s="441"/>
      <c r="J34" s="477" t="str">
        <f>IF(AND('Mapa final'!$M$49="Baja",'Mapa final'!$Q$49="Leve"),CONCATENATE("R",'Mapa final'!$A$49),"")</f>
        <v/>
      </c>
      <c r="K34" s="475"/>
      <c r="L34" s="475" t="str">
        <f>IF(AND('Mapa final'!$M$55="Baja",'Mapa final'!$Q$55="Leve"),CONCATENATE("R",'Mapa final'!$A$55),"")</f>
        <v/>
      </c>
      <c r="M34" s="475"/>
      <c r="N34" s="475" t="str">
        <f>IF(AND('Mapa final'!$M$61="Baja",'Mapa final'!$Q$61="Leve"),CONCATENATE("R",'Mapa final'!$A$61),"")</f>
        <v/>
      </c>
      <c r="O34" s="476"/>
      <c r="P34" s="467" t="str">
        <f>IF(AND('Mapa final'!$M$49="Baja",'Mapa final'!$Q$49="Menor"),CONCATENATE("R",'Mapa final'!$A$49),"")</f>
        <v/>
      </c>
      <c r="Q34" s="467"/>
      <c r="R34" s="467" t="str">
        <f>IF(AND('Mapa final'!$M$55="Baja",'Mapa final'!$Q$55="Menor"),CONCATENATE("R",'Mapa final'!$A$55),"")</f>
        <v/>
      </c>
      <c r="S34" s="467"/>
      <c r="T34" s="467" t="str">
        <f>IF(AND('Mapa final'!$M$61="Baja",'Mapa final'!$Q$61="Menor"),CONCATENATE("R",'Mapa final'!$A$61),"")</f>
        <v/>
      </c>
      <c r="U34" s="468"/>
      <c r="V34" s="466" t="str">
        <f>IF(AND('Mapa final'!$M$49="Baja",'Mapa final'!$Q$49="Moderado"),CONCATENATE("R",'Mapa final'!$A$49),"")</f>
        <v/>
      </c>
      <c r="W34" s="467"/>
      <c r="X34" s="467" t="str">
        <f>IF(AND('Mapa final'!$M$55="Baja",'Mapa final'!$Q$55="Moderado"),CONCATENATE("R",'Mapa final'!$A$55),"")</f>
        <v/>
      </c>
      <c r="Y34" s="467"/>
      <c r="Z34" s="467" t="str">
        <f>IF(AND('Mapa final'!$M$61="Baja",'Mapa final'!$Q$61="Moderado"),CONCATENATE("R",'Mapa final'!$A$61),"")</f>
        <v/>
      </c>
      <c r="AA34" s="468"/>
      <c r="AB34" s="450" t="str">
        <f>IF(AND('Mapa final'!$M$49="Baja",'Mapa final'!$Q$49="Mayor"),CONCATENATE("R",'Mapa final'!$A$49),"")</f>
        <v/>
      </c>
      <c r="AC34" s="446"/>
      <c r="AD34" s="446" t="str">
        <f>IF(AND('Mapa final'!$M$55="Baja",'Mapa final'!$Q$55="Mayor"),CONCATENATE("R",'Mapa final'!$A$55),"")</f>
        <v/>
      </c>
      <c r="AE34" s="446"/>
      <c r="AF34" s="446" t="str">
        <f>IF(AND('Mapa final'!$M$61="Baja",'Mapa final'!$Q$61="Mayor"),CONCATENATE("R",'Mapa final'!$A$61),"")</f>
        <v/>
      </c>
      <c r="AG34" s="447"/>
      <c r="AH34" s="457" t="str">
        <f>IF(AND('Mapa final'!$M$49="Baja",'Mapa final'!$Q$49="Catastrófico"),CONCATENATE("R",'Mapa final'!$A$49),"")</f>
        <v/>
      </c>
      <c r="AI34" s="458"/>
      <c r="AJ34" s="458" t="str">
        <f>IF(AND('Mapa final'!$M$55="Baja",'Mapa final'!$Q$55="Catastrófico"),CONCATENATE("R",'Mapa final'!$A$55),"")</f>
        <v/>
      </c>
      <c r="AK34" s="458"/>
      <c r="AL34" s="458" t="str">
        <f>IF(AND('Mapa final'!$M$61="Baja",'Mapa final'!$Q$61="Catastrófico"),CONCATENATE("R",'Mapa final'!$A$61),"")</f>
        <v/>
      </c>
      <c r="AM34" s="459"/>
      <c r="AN34" s="69"/>
      <c r="AO34" s="431"/>
      <c r="AP34" s="432"/>
      <c r="AQ34" s="432"/>
      <c r="AR34" s="432"/>
      <c r="AS34" s="432"/>
      <c r="AT34" s="433"/>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25">
      <c r="A35" s="69"/>
      <c r="B35" s="399"/>
      <c r="C35" s="399"/>
      <c r="D35" s="400"/>
      <c r="E35" s="440"/>
      <c r="F35" s="441"/>
      <c r="G35" s="441"/>
      <c r="H35" s="441"/>
      <c r="I35" s="441"/>
      <c r="J35" s="477"/>
      <c r="K35" s="475"/>
      <c r="L35" s="475"/>
      <c r="M35" s="475"/>
      <c r="N35" s="475"/>
      <c r="O35" s="476"/>
      <c r="P35" s="467"/>
      <c r="Q35" s="467"/>
      <c r="R35" s="467"/>
      <c r="S35" s="467"/>
      <c r="T35" s="467"/>
      <c r="U35" s="468"/>
      <c r="V35" s="466"/>
      <c r="W35" s="467"/>
      <c r="X35" s="467"/>
      <c r="Y35" s="467"/>
      <c r="Z35" s="467"/>
      <c r="AA35" s="468"/>
      <c r="AB35" s="450"/>
      <c r="AC35" s="446"/>
      <c r="AD35" s="446"/>
      <c r="AE35" s="446"/>
      <c r="AF35" s="446"/>
      <c r="AG35" s="447"/>
      <c r="AH35" s="457"/>
      <c r="AI35" s="458"/>
      <c r="AJ35" s="458"/>
      <c r="AK35" s="458"/>
      <c r="AL35" s="458"/>
      <c r="AM35" s="459"/>
      <c r="AN35" s="69"/>
      <c r="AO35" s="431"/>
      <c r="AP35" s="432"/>
      <c r="AQ35" s="432"/>
      <c r="AR35" s="432"/>
      <c r="AS35" s="432"/>
      <c r="AT35" s="433"/>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25">
      <c r="A36" s="69"/>
      <c r="B36" s="399"/>
      <c r="C36" s="399"/>
      <c r="D36" s="400"/>
      <c r="E36" s="440"/>
      <c r="F36" s="441"/>
      <c r="G36" s="441"/>
      <c r="H36" s="441"/>
      <c r="I36" s="441"/>
      <c r="J36" s="477" t="str">
        <f>IF(AND('Mapa final'!$M$67="Baja",'Mapa final'!$Q$67="Leve"),CONCATENATE("R",'Mapa final'!$A$67),"")</f>
        <v/>
      </c>
      <c r="K36" s="475"/>
      <c r="L36" s="475" t="str">
        <f>IF(AND('Mapa final'!$M$73="Baja",'Mapa final'!$Q$73="Leve"),CONCATENATE("R",'Mapa final'!$A$73),"")</f>
        <v/>
      </c>
      <c r="M36" s="475"/>
      <c r="N36" s="475" t="str">
        <f>IF(AND('Mapa final'!$M$79="Baja",'Mapa final'!$Q$79="Leve"),CONCATENATE("R",'Mapa final'!$A$79),"")</f>
        <v/>
      </c>
      <c r="O36" s="476"/>
      <c r="P36" s="467" t="str">
        <f>IF(AND('Mapa final'!$M$67="Baja",'Mapa final'!$Q$67="Menor"),CONCATENATE("R",'Mapa final'!$A$67),"")</f>
        <v/>
      </c>
      <c r="Q36" s="467"/>
      <c r="R36" s="467" t="str">
        <f>IF(AND('Mapa final'!$M$73="Baja",'Mapa final'!$Q$73="Menor"),CONCATENATE("R",'Mapa final'!$A$73),"")</f>
        <v/>
      </c>
      <c r="S36" s="467"/>
      <c r="T36" s="467" t="str">
        <f>IF(AND('Mapa final'!$M$79="Baja",'Mapa final'!$Q$79="Menor"),CONCATENATE("R",'Mapa final'!$A$79),"")</f>
        <v/>
      </c>
      <c r="U36" s="468"/>
      <c r="V36" s="466" t="str">
        <f>IF(AND('Mapa final'!$M$67="Baja",'Mapa final'!$Q$67="Moderado"),CONCATENATE("R",'Mapa final'!$A$67),"")</f>
        <v/>
      </c>
      <c r="W36" s="467"/>
      <c r="X36" s="467" t="str">
        <f>IF(AND('Mapa final'!$M$73="Baja",'Mapa final'!$Q$73="Moderado"),CONCATENATE("R",'Mapa final'!$A$73),"")</f>
        <v/>
      </c>
      <c r="Y36" s="467"/>
      <c r="Z36" s="467" t="str">
        <f>IF(AND('Mapa final'!$M$79="Baja",'Mapa final'!$Q$79="Moderado"),CONCATENATE("R",'Mapa final'!$A$79),"")</f>
        <v/>
      </c>
      <c r="AA36" s="468"/>
      <c r="AB36" s="450" t="str">
        <f>IF(AND('Mapa final'!$M$67="Baja",'Mapa final'!$Q$67="Mayor"),CONCATENATE("R",'Mapa final'!$A$67),"")</f>
        <v/>
      </c>
      <c r="AC36" s="446"/>
      <c r="AD36" s="446" t="str">
        <f>IF(AND('Mapa final'!$M$73="Baja",'Mapa final'!$Q$73="Mayor"),CONCATENATE("R",'Mapa final'!$A$73),"")</f>
        <v/>
      </c>
      <c r="AE36" s="446"/>
      <c r="AF36" s="446" t="str">
        <f>IF(AND('Mapa final'!$M$79="Baja",'Mapa final'!$Q$79="Mayor"),CONCATENATE("R",'Mapa final'!$A$79),"")</f>
        <v/>
      </c>
      <c r="AG36" s="447"/>
      <c r="AH36" s="457" t="str">
        <f>IF(AND('Mapa final'!$M$67="Baja",'Mapa final'!$Q$67="Catastrófico"),CONCATENATE("R",'Mapa final'!$A$67),"")</f>
        <v/>
      </c>
      <c r="AI36" s="458"/>
      <c r="AJ36" s="458" t="str">
        <f>IF(AND('Mapa final'!$M$73="Baja",'Mapa final'!$Q$73="Catastrófico"),CONCATENATE("R",'Mapa final'!$A$73),"")</f>
        <v/>
      </c>
      <c r="AK36" s="458"/>
      <c r="AL36" s="458" t="str">
        <f>IF(AND('Mapa final'!$M$79="Baja",'Mapa final'!$Q$79="Catastrófico"),CONCATENATE("R",'Mapa final'!$A$79),"")</f>
        <v/>
      </c>
      <c r="AM36" s="459"/>
      <c r="AN36" s="69"/>
      <c r="AO36" s="431"/>
      <c r="AP36" s="432"/>
      <c r="AQ36" s="432"/>
      <c r="AR36" s="432"/>
      <c r="AS36" s="432"/>
      <c r="AT36" s="433"/>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75" thickBot="1" x14ac:dyDescent="0.3">
      <c r="A37" s="69"/>
      <c r="B37" s="399"/>
      <c r="C37" s="399"/>
      <c r="D37" s="400"/>
      <c r="E37" s="443"/>
      <c r="F37" s="444"/>
      <c r="G37" s="444"/>
      <c r="H37" s="444"/>
      <c r="I37" s="444"/>
      <c r="J37" s="478"/>
      <c r="K37" s="479"/>
      <c r="L37" s="479"/>
      <c r="M37" s="479"/>
      <c r="N37" s="479"/>
      <c r="O37" s="480"/>
      <c r="P37" s="470"/>
      <c r="Q37" s="470"/>
      <c r="R37" s="470"/>
      <c r="S37" s="470"/>
      <c r="T37" s="470"/>
      <c r="U37" s="471"/>
      <c r="V37" s="469"/>
      <c r="W37" s="470"/>
      <c r="X37" s="470"/>
      <c r="Y37" s="470"/>
      <c r="Z37" s="470"/>
      <c r="AA37" s="471"/>
      <c r="AB37" s="454"/>
      <c r="AC37" s="455"/>
      <c r="AD37" s="455"/>
      <c r="AE37" s="455"/>
      <c r="AF37" s="455"/>
      <c r="AG37" s="456"/>
      <c r="AH37" s="460"/>
      <c r="AI37" s="461"/>
      <c r="AJ37" s="461"/>
      <c r="AK37" s="461"/>
      <c r="AL37" s="461"/>
      <c r="AM37" s="462"/>
      <c r="AN37" s="69"/>
      <c r="AO37" s="434"/>
      <c r="AP37" s="435"/>
      <c r="AQ37" s="435"/>
      <c r="AR37" s="435"/>
      <c r="AS37" s="435"/>
      <c r="AT37" s="436"/>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25">
      <c r="A38" s="69"/>
      <c r="B38" s="399"/>
      <c r="C38" s="399"/>
      <c r="D38" s="400"/>
      <c r="E38" s="437" t="s">
        <v>113</v>
      </c>
      <c r="F38" s="438"/>
      <c r="G38" s="438"/>
      <c r="H38" s="438"/>
      <c r="I38" s="439"/>
      <c r="J38" s="481" t="str">
        <f>IF(AND('Mapa final'!$M$13="Muy Baja",'Mapa final'!$Q$13="Leve"),CONCATENATE("R",'Mapa final'!$A$13),"")</f>
        <v/>
      </c>
      <c r="K38" s="482"/>
      <c r="L38" s="482" t="str">
        <f>IF(AND('Mapa final'!$M$19="Muy Baja",'Mapa final'!$Q$19="Leve"),CONCATENATE("R",'Mapa final'!$A$19),"")</f>
        <v/>
      </c>
      <c r="M38" s="482"/>
      <c r="N38" s="482" t="str">
        <f>IF(AND('Mapa final'!$M$25="Muy Baja",'Mapa final'!$Q$25="Leve"),CONCATENATE("R",'Mapa final'!$A$25),"")</f>
        <v/>
      </c>
      <c r="O38" s="483"/>
      <c r="P38" s="481" t="str">
        <f>IF(AND('Mapa final'!$M$13="Muy Baja",'Mapa final'!$Q$13="Menor"),CONCATENATE("R",'Mapa final'!$A$13),"")</f>
        <v/>
      </c>
      <c r="Q38" s="482"/>
      <c r="R38" s="482" t="str">
        <f>IF(AND('Mapa final'!$M$19="Muy Baja",'Mapa final'!$Q$19="Menor"),CONCATENATE("R",'Mapa final'!$A$19),"")</f>
        <v/>
      </c>
      <c r="S38" s="482"/>
      <c r="T38" s="482" t="str">
        <f>IF(AND('Mapa final'!$M$25="Muy Baja",'Mapa final'!$Q$25="Menor"),CONCATENATE("R",'Mapa final'!$A$25),"")</f>
        <v/>
      </c>
      <c r="U38" s="483"/>
      <c r="V38" s="472" t="str">
        <f>IF(AND('Mapa final'!$M$13="Muy Baja",'Mapa final'!$Q$13="Moderado"),CONCATENATE("R",'Mapa final'!$A$13),"")</f>
        <v/>
      </c>
      <c r="W38" s="473"/>
      <c r="X38" s="473" t="str">
        <f>IF(AND('Mapa final'!$M$19="Muy Baja",'Mapa final'!$Q$19="Moderado"),CONCATENATE("R",'Mapa final'!$A$19),"")</f>
        <v/>
      </c>
      <c r="Y38" s="473"/>
      <c r="Z38" s="473" t="str">
        <f>IF(AND('Mapa final'!$M$25="Muy Baja",'Mapa final'!$Q$25="Moderado"),CONCATENATE("R",'Mapa final'!$A$25),"")</f>
        <v/>
      </c>
      <c r="AA38" s="474"/>
      <c r="AB38" s="448" t="str">
        <f>IF(AND('Mapa final'!$M$13="Muy Baja",'Mapa final'!$Q$13="Mayor"),CONCATENATE("R",'Mapa final'!$A$13),"")</f>
        <v/>
      </c>
      <c r="AC38" s="449"/>
      <c r="AD38" s="449" t="str">
        <f>IF(AND('Mapa final'!$M$19="Muy Baja",'Mapa final'!$Q$19="Mayor"),CONCATENATE("R",'Mapa final'!$A$19),"")</f>
        <v/>
      </c>
      <c r="AE38" s="449"/>
      <c r="AF38" s="449" t="str">
        <f>IF(AND('Mapa final'!$M$25="Muy Baja",'Mapa final'!$Q$25="Mayor"),CONCATENATE("R",'Mapa final'!$A$25),"")</f>
        <v/>
      </c>
      <c r="AG38" s="451"/>
      <c r="AH38" s="463" t="str">
        <f>IF(AND('Mapa final'!$M$13="Muy Baja",'Mapa final'!$Q$13="Catastrófico"),CONCATENATE("R",'Mapa final'!$A$13),"")</f>
        <v/>
      </c>
      <c r="AI38" s="464"/>
      <c r="AJ38" s="464" t="str">
        <f>IF(AND('Mapa final'!$M$19="Muy Baja",'Mapa final'!$Q$19="Catastrófico"),CONCATENATE("R",'Mapa final'!$A$19),"")</f>
        <v/>
      </c>
      <c r="AK38" s="464"/>
      <c r="AL38" s="464" t="str">
        <f>IF(AND('Mapa final'!$M$25="Muy Baja",'Mapa final'!$Q$25="Catastrófico"),CONCATENATE("R",'Mapa final'!$A$25),"")</f>
        <v/>
      </c>
      <c r="AM38" s="465"/>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25">
      <c r="A39" s="69"/>
      <c r="B39" s="399"/>
      <c r="C39" s="399"/>
      <c r="D39" s="400"/>
      <c r="E39" s="440"/>
      <c r="F39" s="441"/>
      <c r="G39" s="441"/>
      <c r="H39" s="441"/>
      <c r="I39" s="442"/>
      <c r="J39" s="477"/>
      <c r="K39" s="475"/>
      <c r="L39" s="475"/>
      <c r="M39" s="475"/>
      <c r="N39" s="475"/>
      <c r="O39" s="476"/>
      <c r="P39" s="477"/>
      <c r="Q39" s="475"/>
      <c r="R39" s="475"/>
      <c r="S39" s="475"/>
      <c r="T39" s="475"/>
      <c r="U39" s="476"/>
      <c r="V39" s="466"/>
      <c r="W39" s="467"/>
      <c r="X39" s="467"/>
      <c r="Y39" s="467"/>
      <c r="Z39" s="467"/>
      <c r="AA39" s="468"/>
      <c r="AB39" s="450"/>
      <c r="AC39" s="446"/>
      <c r="AD39" s="446"/>
      <c r="AE39" s="446"/>
      <c r="AF39" s="446"/>
      <c r="AG39" s="447"/>
      <c r="AH39" s="457"/>
      <c r="AI39" s="458"/>
      <c r="AJ39" s="458"/>
      <c r="AK39" s="458"/>
      <c r="AL39" s="458"/>
      <c r="AM39" s="45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25">
      <c r="A40" s="69"/>
      <c r="B40" s="399"/>
      <c r="C40" s="399"/>
      <c r="D40" s="400"/>
      <c r="E40" s="440"/>
      <c r="F40" s="441"/>
      <c r="G40" s="441"/>
      <c r="H40" s="441"/>
      <c r="I40" s="442"/>
      <c r="J40" s="477" t="str">
        <f>IF(AND('Mapa final'!$M$31="Muy Baja",'Mapa final'!$Q$31="Leve"),CONCATENATE("R",'Mapa final'!$A$31),"")</f>
        <v/>
      </c>
      <c r="K40" s="475"/>
      <c r="L40" s="475" t="str">
        <f>IF(AND('Mapa final'!$M$37="Muy Baja",'Mapa final'!$Q$37="Leve"),CONCATENATE("R",'Mapa final'!$A$37),"")</f>
        <v/>
      </c>
      <c r="M40" s="475"/>
      <c r="N40" s="475" t="str">
        <f>IF(AND('Mapa final'!$M$43="Muy Baja",'Mapa final'!$Q$43="Leve"),CONCATENATE("R",'Mapa final'!$A$43),"")</f>
        <v/>
      </c>
      <c r="O40" s="476"/>
      <c r="P40" s="477" t="str">
        <f>IF(AND('Mapa final'!$M$31="Muy Baja",'Mapa final'!$Q$31="Menor"),CONCATENATE("R",'Mapa final'!$A$31),"")</f>
        <v/>
      </c>
      <c r="Q40" s="475"/>
      <c r="R40" s="475" t="str">
        <f>IF(AND('Mapa final'!$M$37="Muy Baja",'Mapa final'!$Q$37="Menor"),CONCATENATE("R",'Mapa final'!$A$37),"")</f>
        <v/>
      </c>
      <c r="S40" s="475"/>
      <c r="T40" s="475" t="str">
        <f>IF(AND('Mapa final'!$M$43="Muy Baja",'Mapa final'!$Q$43="Menor"),CONCATENATE("R",'Mapa final'!$A$43),"")</f>
        <v/>
      </c>
      <c r="U40" s="476"/>
      <c r="V40" s="466" t="str">
        <f>IF(AND('Mapa final'!$M$31="Muy Baja",'Mapa final'!$Q$31="Moderado"),CONCATENATE("R",'Mapa final'!$A$31),"")</f>
        <v/>
      </c>
      <c r="W40" s="467"/>
      <c r="X40" s="467" t="str">
        <f>IF(AND('Mapa final'!$M$37="Muy Baja",'Mapa final'!$Q$37="Moderado"),CONCATENATE("R",'Mapa final'!$A$37),"")</f>
        <v/>
      </c>
      <c r="Y40" s="467"/>
      <c r="Z40" s="467" t="str">
        <f>IF(AND('Mapa final'!$M$43="Muy Baja",'Mapa final'!$Q$43="Moderado"),CONCATENATE("R",'Mapa final'!$A$43),"")</f>
        <v/>
      </c>
      <c r="AA40" s="468"/>
      <c r="AB40" s="450" t="str">
        <f>IF(AND('Mapa final'!$M$31="Muy Baja",'Mapa final'!$Q$31="Mayor"),CONCATENATE("R",'Mapa final'!$A$31),"")</f>
        <v/>
      </c>
      <c r="AC40" s="446"/>
      <c r="AD40" s="446" t="str">
        <f>IF(AND('Mapa final'!$M$37="Muy Baja",'Mapa final'!$Q$37="Mayor"),CONCATENATE("R",'Mapa final'!$A$37),"")</f>
        <v/>
      </c>
      <c r="AE40" s="446"/>
      <c r="AF40" s="446" t="str">
        <f>IF(AND('Mapa final'!$M$43="Muy Baja",'Mapa final'!$Q$43="Mayor"),CONCATENATE("R",'Mapa final'!$A$43),"")</f>
        <v/>
      </c>
      <c r="AG40" s="447"/>
      <c r="AH40" s="457" t="str">
        <f>IF(AND('Mapa final'!$M$31="Muy Baja",'Mapa final'!$Q$31="Catastrófico"),CONCATENATE("R",'Mapa final'!$A$31),"")</f>
        <v/>
      </c>
      <c r="AI40" s="458"/>
      <c r="AJ40" s="458" t="str">
        <f>IF(AND('Mapa final'!$M$37="Muy Baja",'Mapa final'!$Q$37="Catastrófico"),CONCATENATE("R",'Mapa final'!$A$37),"")</f>
        <v/>
      </c>
      <c r="AK40" s="458"/>
      <c r="AL40" s="458" t="str">
        <f>IF(AND('Mapa final'!$M$43="Muy Baja",'Mapa final'!$Q$43="Catastrófico"),CONCATENATE("R",'Mapa final'!$A$43),"")</f>
        <v/>
      </c>
      <c r="AM40" s="45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25">
      <c r="A41" s="69"/>
      <c r="B41" s="399"/>
      <c r="C41" s="399"/>
      <c r="D41" s="400"/>
      <c r="E41" s="440"/>
      <c r="F41" s="441"/>
      <c r="G41" s="441"/>
      <c r="H41" s="441"/>
      <c r="I41" s="442"/>
      <c r="J41" s="477"/>
      <c r="K41" s="475"/>
      <c r="L41" s="475"/>
      <c r="M41" s="475"/>
      <c r="N41" s="475"/>
      <c r="O41" s="476"/>
      <c r="P41" s="477"/>
      <c r="Q41" s="475"/>
      <c r="R41" s="475"/>
      <c r="S41" s="475"/>
      <c r="T41" s="475"/>
      <c r="U41" s="476"/>
      <c r="V41" s="466"/>
      <c r="W41" s="467"/>
      <c r="X41" s="467"/>
      <c r="Y41" s="467"/>
      <c r="Z41" s="467"/>
      <c r="AA41" s="468"/>
      <c r="AB41" s="450"/>
      <c r="AC41" s="446"/>
      <c r="AD41" s="446"/>
      <c r="AE41" s="446"/>
      <c r="AF41" s="446"/>
      <c r="AG41" s="447"/>
      <c r="AH41" s="457"/>
      <c r="AI41" s="458"/>
      <c r="AJ41" s="458"/>
      <c r="AK41" s="458"/>
      <c r="AL41" s="458"/>
      <c r="AM41" s="45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25">
      <c r="A42" s="69"/>
      <c r="B42" s="399"/>
      <c r="C42" s="399"/>
      <c r="D42" s="400"/>
      <c r="E42" s="440"/>
      <c r="F42" s="441"/>
      <c r="G42" s="441"/>
      <c r="H42" s="441"/>
      <c r="I42" s="442"/>
      <c r="J42" s="477" t="str">
        <f>IF(AND('Mapa final'!$M$49="Muy Baja",'Mapa final'!$Q$49="Leve"),CONCATENATE("R",'Mapa final'!$A$49),"")</f>
        <v/>
      </c>
      <c r="K42" s="475"/>
      <c r="L42" s="475" t="str">
        <f>IF(AND('Mapa final'!$M$55="Muy Baja",'Mapa final'!$Q$55="Leve"),CONCATENATE("R",'Mapa final'!$A$55),"")</f>
        <v/>
      </c>
      <c r="M42" s="475"/>
      <c r="N42" s="475" t="str">
        <f>IF(AND('Mapa final'!$M$61="Muy Baja",'Mapa final'!$Q$61="Leve"),CONCATENATE("R",'Mapa final'!$A$61),"")</f>
        <v/>
      </c>
      <c r="O42" s="476"/>
      <c r="P42" s="477" t="str">
        <f>IF(AND('Mapa final'!$M$49="Muy Baja",'Mapa final'!$Q$49="Menor"),CONCATENATE("R",'Mapa final'!$A$49),"")</f>
        <v/>
      </c>
      <c r="Q42" s="475"/>
      <c r="R42" s="475" t="str">
        <f>IF(AND('Mapa final'!$M$55="Muy Baja",'Mapa final'!$Q$55="Menor"),CONCATENATE("R",'Mapa final'!$A$55),"")</f>
        <v/>
      </c>
      <c r="S42" s="475"/>
      <c r="T42" s="475" t="str">
        <f>IF(AND('Mapa final'!$M$61="Muy Baja",'Mapa final'!$Q$61="Menor"),CONCATENATE("R",'Mapa final'!$A$61),"")</f>
        <v/>
      </c>
      <c r="U42" s="476"/>
      <c r="V42" s="466" t="str">
        <f>IF(AND('Mapa final'!$M$49="Muy Baja",'Mapa final'!$Q$49="Moderado"),CONCATENATE("R",'Mapa final'!$A$49),"")</f>
        <v/>
      </c>
      <c r="W42" s="467"/>
      <c r="X42" s="467" t="str">
        <f>IF(AND('Mapa final'!$M$55="Muy Baja",'Mapa final'!$Q$55="Moderado"),CONCATENATE("R",'Mapa final'!$A$55),"")</f>
        <v/>
      </c>
      <c r="Y42" s="467"/>
      <c r="Z42" s="467" t="str">
        <f>IF(AND('Mapa final'!$M$61="Muy Baja",'Mapa final'!$Q$61="Moderado"),CONCATENATE("R",'Mapa final'!$A$61),"")</f>
        <v/>
      </c>
      <c r="AA42" s="468"/>
      <c r="AB42" s="450" t="str">
        <f>IF(AND('Mapa final'!$M$49="Muy Baja",'Mapa final'!$Q$49="Mayor"),CONCATENATE("R",'Mapa final'!$A$49),"")</f>
        <v/>
      </c>
      <c r="AC42" s="446"/>
      <c r="AD42" s="446" t="str">
        <f>IF(AND('Mapa final'!$M$55="Muy Baja",'Mapa final'!$Q$55="Mayor"),CONCATENATE("R",'Mapa final'!$A$55),"")</f>
        <v/>
      </c>
      <c r="AE42" s="446"/>
      <c r="AF42" s="446" t="str">
        <f>IF(AND('Mapa final'!$M$61="Muy Baja",'Mapa final'!$Q$61="Mayor"),CONCATENATE("R",'Mapa final'!$A$61),"")</f>
        <v/>
      </c>
      <c r="AG42" s="447"/>
      <c r="AH42" s="457" t="str">
        <f>IF(AND('Mapa final'!$M$49="Muy Baja",'Mapa final'!$Q$49="Catastrófico"),CONCATENATE("R",'Mapa final'!$A$49),"")</f>
        <v/>
      </c>
      <c r="AI42" s="458"/>
      <c r="AJ42" s="458" t="str">
        <f>IF(AND('Mapa final'!$M$55="Muy Baja",'Mapa final'!$Q$55="Catastrófico"),CONCATENATE("R",'Mapa final'!$A$55),"")</f>
        <v/>
      </c>
      <c r="AK42" s="458"/>
      <c r="AL42" s="458" t="str">
        <f>IF(AND('Mapa final'!$M$61="Muy Baja",'Mapa final'!$Q$61="Catastrófico"),CONCATENATE("R",'Mapa final'!$A$61),"")</f>
        <v/>
      </c>
      <c r="AM42" s="45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25">
      <c r="A43" s="69"/>
      <c r="B43" s="399"/>
      <c r="C43" s="399"/>
      <c r="D43" s="400"/>
      <c r="E43" s="440"/>
      <c r="F43" s="441"/>
      <c r="G43" s="441"/>
      <c r="H43" s="441"/>
      <c r="I43" s="442"/>
      <c r="J43" s="477"/>
      <c r="K43" s="475"/>
      <c r="L43" s="475"/>
      <c r="M43" s="475"/>
      <c r="N43" s="475"/>
      <c r="O43" s="476"/>
      <c r="P43" s="477"/>
      <c r="Q43" s="475"/>
      <c r="R43" s="475"/>
      <c r="S43" s="475"/>
      <c r="T43" s="475"/>
      <c r="U43" s="476"/>
      <c r="V43" s="466"/>
      <c r="W43" s="467"/>
      <c r="X43" s="467"/>
      <c r="Y43" s="467"/>
      <c r="Z43" s="467"/>
      <c r="AA43" s="468"/>
      <c r="AB43" s="450"/>
      <c r="AC43" s="446"/>
      <c r="AD43" s="446"/>
      <c r="AE43" s="446"/>
      <c r="AF43" s="446"/>
      <c r="AG43" s="447"/>
      <c r="AH43" s="457"/>
      <c r="AI43" s="458"/>
      <c r="AJ43" s="458"/>
      <c r="AK43" s="458"/>
      <c r="AL43" s="458"/>
      <c r="AM43" s="45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25">
      <c r="A44" s="69"/>
      <c r="B44" s="399"/>
      <c r="C44" s="399"/>
      <c r="D44" s="400"/>
      <c r="E44" s="440"/>
      <c r="F44" s="441"/>
      <c r="G44" s="441"/>
      <c r="H44" s="441"/>
      <c r="I44" s="442"/>
      <c r="J44" s="477" t="str">
        <f>IF(AND('Mapa final'!$M$67="Muy Baja",'Mapa final'!$Q$67="Leve"),CONCATENATE("R",'Mapa final'!$A$67),"")</f>
        <v/>
      </c>
      <c r="K44" s="475"/>
      <c r="L44" s="475" t="str">
        <f>IF(AND('Mapa final'!$M$73="Muy Baja",'Mapa final'!$Q$73="Leve"),CONCATENATE("R",'Mapa final'!$A$73),"")</f>
        <v/>
      </c>
      <c r="M44" s="475"/>
      <c r="N44" s="475" t="str">
        <f>IF(AND('Mapa final'!$M$79="Muy Baja",'Mapa final'!$Q$79="Leve"),CONCATENATE("R",'Mapa final'!$A$79),"")</f>
        <v/>
      </c>
      <c r="O44" s="476"/>
      <c r="P44" s="477" t="str">
        <f>IF(AND('Mapa final'!$M$67="Muy Baja",'Mapa final'!$Q$67="Menor"),CONCATENATE("R",'Mapa final'!$A$67),"")</f>
        <v/>
      </c>
      <c r="Q44" s="475"/>
      <c r="R44" s="475" t="str">
        <f>IF(AND('Mapa final'!$M$73="Muy Baja",'Mapa final'!$Q$73="Menor"),CONCATENATE("R",'Mapa final'!$A$73),"")</f>
        <v/>
      </c>
      <c r="S44" s="475"/>
      <c r="T44" s="475" t="str">
        <f>IF(AND('Mapa final'!$M$79="Muy Baja",'Mapa final'!$Q$79="Menor"),CONCATENATE("R",'Mapa final'!$A$79),"")</f>
        <v/>
      </c>
      <c r="U44" s="476"/>
      <c r="V44" s="466" t="str">
        <f>IF(AND('Mapa final'!$M$67="Muy Baja",'Mapa final'!$Q$67="Moderado"),CONCATENATE("R",'Mapa final'!$A$67),"")</f>
        <v/>
      </c>
      <c r="W44" s="467"/>
      <c r="X44" s="467" t="str">
        <f>IF(AND('Mapa final'!$M$73="Muy Baja",'Mapa final'!$Q$73="Moderado"),CONCATENATE("R",'Mapa final'!$A$73),"")</f>
        <v/>
      </c>
      <c r="Y44" s="467"/>
      <c r="Z44" s="467" t="str">
        <f>IF(AND('Mapa final'!$M$79="Muy Baja",'Mapa final'!$Q$79="Moderado"),CONCATENATE("R",'Mapa final'!$A$79),"")</f>
        <v/>
      </c>
      <c r="AA44" s="468"/>
      <c r="AB44" s="450" t="str">
        <f>IF(AND('Mapa final'!$M$67="Muy Baja",'Mapa final'!$Q$67="Mayor"),CONCATENATE("R",'Mapa final'!$A$67),"")</f>
        <v/>
      </c>
      <c r="AC44" s="446"/>
      <c r="AD44" s="446" t="str">
        <f>IF(AND('Mapa final'!$M$73="Muy Baja",'Mapa final'!$Q$73="Mayor"),CONCATENATE("R",'Mapa final'!$A$73),"")</f>
        <v/>
      </c>
      <c r="AE44" s="446"/>
      <c r="AF44" s="446" t="str">
        <f>IF(AND('Mapa final'!$M$79="Muy Baja",'Mapa final'!$Q$79="Mayor"),CONCATENATE("R",'Mapa final'!$A$79),"")</f>
        <v/>
      </c>
      <c r="AG44" s="447"/>
      <c r="AH44" s="457" t="str">
        <f>IF(AND('Mapa final'!$M$67="Muy Baja",'Mapa final'!$Q$67="Catastrófico"),CONCATENATE("R",'Mapa final'!$A$67),"")</f>
        <v/>
      </c>
      <c r="AI44" s="458"/>
      <c r="AJ44" s="458" t="str">
        <f>IF(AND('Mapa final'!$M$73="Muy Baja",'Mapa final'!$Q$73="Catastrófico"),CONCATENATE("R",'Mapa final'!$A$73),"")</f>
        <v/>
      </c>
      <c r="AK44" s="458"/>
      <c r="AL44" s="458" t="str">
        <f>IF(AND('Mapa final'!$M$79="Muy Baja",'Mapa final'!$Q$79="Catastrófico"),CONCATENATE("R",'Mapa final'!$A$79),"")</f>
        <v/>
      </c>
      <c r="AM44" s="45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75" thickBot="1" x14ac:dyDescent="0.3">
      <c r="A45" s="69"/>
      <c r="B45" s="399"/>
      <c r="C45" s="399"/>
      <c r="D45" s="400"/>
      <c r="E45" s="443"/>
      <c r="F45" s="444"/>
      <c r="G45" s="444"/>
      <c r="H45" s="444"/>
      <c r="I45" s="445"/>
      <c r="J45" s="478"/>
      <c r="K45" s="479"/>
      <c r="L45" s="479"/>
      <c r="M45" s="479"/>
      <c r="N45" s="479"/>
      <c r="O45" s="480"/>
      <c r="P45" s="478"/>
      <c r="Q45" s="479"/>
      <c r="R45" s="479"/>
      <c r="S45" s="479"/>
      <c r="T45" s="479"/>
      <c r="U45" s="480"/>
      <c r="V45" s="469"/>
      <c r="W45" s="470"/>
      <c r="X45" s="470"/>
      <c r="Y45" s="470"/>
      <c r="Z45" s="470"/>
      <c r="AA45" s="471"/>
      <c r="AB45" s="454"/>
      <c r="AC45" s="455"/>
      <c r="AD45" s="455"/>
      <c r="AE45" s="455"/>
      <c r="AF45" s="455"/>
      <c r="AG45" s="456"/>
      <c r="AH45" s="460"/>
      <c r="AI45" s="461"/>
      <c r="AJ45" s="461"/>
      <c r="AK45" s="461"/>
      <c r="AL45" s="461"/>
      <c r="AM45" s="462"/>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25">
      <c r="A46" s="69"/>
      <c r="B46" s="69"/>
      <c r="C46" s="69"/>
      <c r="D46" s="69"/>
      <c r="E46" s="69"/>
      <c r="F46" s="69"/>
      <c r="G46" s="69"/>
      <c r="H46" s="69"/>
      <c r="I46" s="69"/>
      <c r="J46" s="437" t="s">
        <v>112</v>
      </c>
      <c r="K46" s="438"/>
      <c r="L46" s="438"/>
      <c r="M46" s="438"/>
      <c r="N46" s="438"/>
      <c r="O46" s="439"/>
      <c r="P46" s="437" t="s">
        <v>111</v>
      </c>
      <c r="Q46" s="438"/>
      <c r="R46" s="438"/>
      <c r="S46" s="438"/>
      <c r="T46" s="438"/>
      <c r="U46" s="439"/>
      <c r="V46" s="437" t="s">
        <v>110</v>
      </c>
      <c r="W46" s="438"/>
      <c r="X46" s="438"/>
      <c r="Y46" s="438"/>
      <c r="Z46" s="438"/>
      <c r="AA46" s="439"/>
      <c r="AB46" s="437" t="s">
        <v>109</v>
      </c>
      <c r="AC46" s="453"/>
      <c r="AD46" s="438"/>
      <c r="AE46" s="438"/>
      <c r="AF46" s="438"/>
      <c r="AG46" s="439"/>
      <c r="AH46" s="437" t="s">
        <v>108</v>
      </c>
      <c r="AI46" s="438"/>
      <c r="AJ46" s="438"/>
      <c r="AK46" s="438"/>
      <c r="AL46" s="438"/>
      <c r="AM46" s="43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25">
      <c r="A47" s="69"/>
      <c r="B47" s="69"/>
      <c r="C47" s="69"/>
      <c r="D47" s="69"/>
      <c r="E47" s="69"/>
      <c r="F47" s="69"/>
      <c r="G47" s="69"/>
      <c r="H47" s="69"/>
      <c r="I47" s="69"/>
      <c r="J47" s="440"/>
      <c r="K47" s="441"/>
      <c r="L47" s="441"/>
      <c r="M47" s="441"/>
      <c r="N47" s="441"/>
      <c r="O47" s="442"/>
      <c r="P47" s="440"/>
      <c r="Q47" s="441"/>
      <c r="R47" s="441"/>
      <c r="S47" s="441"/>
      <c r="T47" s="441"/>
      <c r="U47" s="442"/>
      <c r="V47" s="440"/>
      <c r="W47" s="441"/>
      <c r="X47" s="441"/>
      <c r="Y47" s="441"/>
      <c r="Z47" s="441"/>
      <c r="AA47" s="442"/>
      <c r="AB47" s="440"/>
      <c r="AC47" s="441"/>
      <c r="AD47" s="441"/>
      <c r="AE47" s="441"/>
      <c r="AF47" s="441"/>
      <c r="AG47" s="442"/>
      <c r="AH47" s="440"/>
      <c r="AI47" s="441"/>
      <c r="AJ47" s="441"/>
      <c r="AK47" s="441"/>
      <c r="AL47" s="441"/>
      <c r="AM47" s="442"/>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25">
      <c r="A48" s="69"/>
      <c r="B48" s="69"/>
      <c r="C48" s="69"/>
      <c r="D48" s="69"/>
      <c r="E48" s="69"/>
      <c r="F48" s="69"/>
      <c r="G48" s="69"/>
      <c r="H48" s="69"/>
      <c r="I48" s="69"/>
      <c r="J48" s="440"/>
      <c r="K48" s="441"/>
      <c r="L48" s="441"/>
      <c r="M48" s="441"/>
      <c r="N48" s="441"/>
      <c r="O48" s="442"/>
      <c r="P48" s="440"/>
      <c r="Q48" s="441"/>
      <c r="R48" s="441"/>
      <c r="S48" s="441"/>
      <c r="T48" s="441"/>
      <c r="U48" s="442"/>
      <c r="V48" s="440"/>
      <c r="W48" s="441"/>
      <c r="X48" s="441"/>
      <c r="Y48" s="441"/>
      <c r="Z48" s="441"/>
      <c r="AA48" s="442"/>
      <c r="AB48" s="440"/>
      <c r="AC48" s="441"/>
      <c r="AD48" s="441"/>
      <c r="AE48" s="441"/>
      <c r="AF48" s="441"/>
      <c r="AG48" s="442"/>
      <c r="AH48" s="440"/>
      <c r="AI48" s="441"/>
      <c r="AJ48" s="441"/>
      <c r="AK48" s="441"/>
      <c r="AL48" s="441"/>
      <c r="AM48" s="442"/>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25">
      <c r="A49" s="69"/>
      <c r="B49" s="69"/>
      <c r="C49" s="69"/>
      <c r="D49" s="69"/>
      <c r="E49" s="69"/>
      <c r="F49" s="69"/>
      <c r="G49" s="69"/>
      <c r="H49" s="69"/>
      <c r="I49" s="69"/>
      <c r="J49" s="440"/>
      <c r="K49" s="441"/>
      <c r="L49" s="441"/>
      <c r="M49" s="441"/>
      <c r="N49" s="441"/>
      <c r="O49" s="442"/>
      <c r="P49" s="440"/>
      <c r="Q49" s="441"/>
      <c r="R49" s="441"/>
      <c r="S49" s="441"/>
      <c r="T49" s="441"/>
      <c r="U49" s="442"/>
      <c r="V49" s="440"/>
      <c r="W49" s="441"/>
      <c r="X49" s="441"/>
      <c r="Y49" s="441"/>
      <c r="Z49" s="441"/>
      <c r="AA49" s="442"/>
      <c r="AB49" s="440"/>
      <c r="AC49" s="441"/>
      <c r="AD49" s="441"/>
      <c r="AE49" s="441"/>
      <c r="AF49" s="441"/>
      <c r="AG49" s="442"/>
      <c r="AH49" s="440"/>
      <c r="AI49" s="441"/>
      <c r="AJ49" s="441"/>
      <c r="AK49" s="441"/>
      <c r="AL49" s="441"/>
      <c r="AM49" s="442"/>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25">
      <c r="A50" s="69"/>
      <c r="B50" s="69"/>
      <c r="C50" s="69"/>
      <c r="D50" s="69"/>
      <c r="E50" s="69"/>
      <c r="F50" s="69"/>
      <c r="G50" s="69"/>
      <c r="H50" s="69"/>
      <c r="I50" s="69"/>
      <c r="J50" s="440"/>
      <c r="K50" s="441"/>
      <c r="L50" s="441"/>
      <c r="M50" s="441"/>
      <c r="N50" s="441"/>
      <c r="O50" s="442"/>
      <c r="P50" s="440"/>
      <c r="Q50" s="441"/>
      <c r="R50" s="441"/>
      <c r="S50" s="441"/>
      <c r="T50" s="441"/>
      <c r="U50" s="442"/>
      <c r="V50" s="440"/>
      <c r="W50" s="441"/>
      <c r="X50" s="441"/>
      <c r="Y50" s="441"/>
      <c r="Z50" s="441"/>
      <c r="AA50" s="442"/>
      <c r="AB50" s="440"/>
      <c r="AC50" s="441"/>
      <c r="AD50" s="441"/>
      <c r="AE50" s="441"/>
      <c r="AF50" s="441"/>
      <c r="AG50" s="442"/>
      <c r="AH50" s="440"/>
      <c r="AI50" s="441"/>
      <c r="AJ50" s="441"/>
      <c r="AK50" s="441"/>
      <c r="AL50" s="441"/>
      <c r="AM50" s="442"/>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75" thickBot="1" x14ac:dyDescent="0.3">
      <c r="A51" s="69"/>
      <c r="B51" s="69"/>
      <c r="C51" s="69"/>
      <c r="D51" s="69"/>
      <c r="E51" s="69"/>
      <c r="F51" s="69"/>
      <c r="G51" s="69"/>
      <c r="H51" s="69"/>
      <c r="I51" s="69"/>
      <c r="J51" s="443"/>
      <c r="K51" s="444"/>
      <c r="L51" s="444"/>
      <c r="M51" s="444"/>
      <c r="N51" s="444"/>
      <c r="O51" s="445"/>
      <c r="P51" s="443"/>
      <c r="Q51" s="444"/>
      <c r="R51" s="444"/>
      <c r="S51" s="444"/>
      <c r="T51" s="444"/>
      <c r="U51" s="445"/>
      <c r="V51" s="443"/>
      <c r="W51" s="444"/>
      <c r="X51" s="444"/>
      <c r="Y51" s="444"/>
      <c r="Z51" s="444"/>
      <c r="AA51" s="445"/>
      <c r="AB51" s="443"/>
      <c r="AC51" s="444"/>
      <c r="AD51" s="444"/>
      <c r="AE51" s="444"/>
      <c r="AF51" s="444"/>
      <c r="AG51" s="445"/>
      <c r="AH51" s="443"/>
      <c r="AI51" s="444"/>
      <c r="AJ51" s="444"/>
      <c r="AK51" s="444"/>
      <c r="AL51" s="444"/>
      <c r="AM51" s="445"/>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25">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25">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25">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25">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2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2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2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2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2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25">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2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2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2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2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2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25">
      <c r="B137" s="69"/>
      <c r="C137" s="69"/>
      <c r="D137" s="69"/>
      <c r="E137" s="69"/>
      <c r="F137" s="69"/>
      <c r="G137" s="69"/>
      <c r="H137" s="69"/>
      <c r="I137" s="69"/>
    </row>
    <row r="138" spans="2:63" x14ac:dyDescent="0.25">
      <c r="B138" s="69"/>
      <c r="C138" s="69"/>
      <c r="D138" s="69"/>
      <c r="E138" s="69"/>
      <c r="F138" s="69"/>
      <c r="G138" s="69"/>
      <c r="H138" s="69"/>
      <c r="I138" s="69"/>
    </row>
    <row r="139" spans="2:63" x14ac:dyDescent="0.25">
      <c r="B139" s="69"/>
      <c r="C139" s="69"/>
      <c r="D139" s="69"/>
      <c r="E139" s="69"/>
      <c r="F139" s="69"/>
      <c r="G139" s="69"/>
      <c r="H139" s="69"/>
      <c r="I139" s="69"/>
    </row>
    <row r="140" spans="2:63" x14ac:dyDescent="0.25">
      <c r="B140" s="69"/>
      <c r="C140" s="69"/>
      <c r="D140" s="69"/>
      <c r="E140" s="69"/>
      <c r="F140" s="69"/>
      <c r="G140" s="69"/>
      <c r="H140" s="69"/>
      <c r="I140" s="6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zoomScale="50" zoomScaleNormal="50" workbookViewId="0">
      <selection activeCell="B2" sqref="B2:AT6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510" t="s">
        <v>158</v>
      </c>
      <c r="C2" s="511"/>
      <c r="D2" s="511"/>
      <c r="E2" s="511"/>
      <c r="F2" s="511"/>
      <c r="G2" s="511"/>
      <c r="H2" s="511"/>
      <c r="I2" s="511"/>
      <c r="J2" s="452" t="s">
        <v>2</v>
      </c>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452"/>
      <c r="AJ2" s="452"/>
      <c r="AK2" s="452"/>
      <c r="AL2" s="452"/>
      <c r="AM2" s="452"/>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511"/>
      <c r="C3" s="511"/>
      <c r="D3" s="511"/>
      <c r="E3" s="511"/>
      <c r="F3" s="511"/>
      <c r="G3" s="511"/>
      <c r="H3" s="511"/>
      <c r="I3" s="511"/>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511"/>
      <c r="C4" s="511"/>
      <c r="D4" s="511"/>
      <c r="E4" s="511"/>
      <c r="F4" s="511"/>
      <c r="G4" s="511"/>
      <c r="H4" s="511"/>
      <c r="I4" s="511"/>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399" t="s">
        <v>4</v>
      </c>
      <c r="C6" s="399"/>
      <c r="D6" s="400"/>
      <c r="E6" s="494" t="s">
        <v>116</v>
      </c>
      <c r="F6" s="495"/>
      <c r="G6" s="495"/>
      <c r="H6" s="495"/>
      <c r="I6" s="512"/>
      <c r="J6" s="32" t="str">
        <f>IF(AND('Mapa final'!$AD$13="Muy Alta",'Mapa final'!$AF$13="Leve"),CONCATENATE("R1C",'Mapa final'!$T$13),"")</f>
        <v/>
      </c>
      <c r="K6" s="33" t="str">
        <f>IF(AND('Mapa final'!$AD$14="Muy Alta",'Mapa final'!$AF$14="Leve"),CONCATENATE("R1C",'Mapa final'!$T$14),"")</f>
        <v/>
      </c>
      <c r="L6" s="33" t="str">
        <f>IF(AND('Mapa final'!$AD$15="Muy Alta",'Mapa final'!$AF$15="Leve"),CONCATENATE("R1C",'Mapa final'!$T$15),"")</f>
        <v/>
      </c>
      <c r="M6" s="33" t="str">
        <f>IF(AND('Mapa final'!$AD$16="Muy Alta",'Mapa final'!$AF$16="Leve"),CONCATENATE("R1C",'Mapa final'!$T$16),"")</f>
        <v/>
      </c>
      <c r="N6" s="33" t="str">
        <f>IF(AND('Mapa final'!$AD$17="Muy Alta",'Mapa final'!$AF$17="Leve"),CONCATENATE("R1C",'Mapa final'!$T$17),"")</f>
        <v/>
      </c>
      <c r="O6" s="34" t="str">
        <f>IF(AND('Mapa final'!$AD$18="Muy Alta",'Mapa final'!$AF$18="Leve"),CONCATENATE("R1C",'Mapa final'!$T$18),"")</f>
        <v/>
      </c>
      <c r="P6" s="32" t="str">
        <f>IF(AND('Mapa final'!$AD$13="Muy Alta",'Mapa final'!$AF$13="Menor"),CONCATENATE("R1C",'Mapa final'!$T$13),"")</f>
        <v/>
      </c>
      <c r="Q6" s="33" t="str">
        <f>IF(AND('Mapa final'!$AD$14="Muy Alta",'Mapa final'!$AF$14="Menor"),CONCATENATE("R1C",'Mapa final'!$T$14),"")</f>
        <v/>
      </c>
      <c r="R6" s="33" t="str">
        <f>IF(AND('Mapa final'!$AD$15="Muy Alta",'Mapa final'!$AF$15="Menor"),CONCATENATE("R1C",'Mapa final'!$T$15),"")</f>
        <v/>
      </c>
      <c r="S6" s="33" t="str">
        <f>IF(AND('Mapa final'!$AD$16="Muy Alta",'Mapa final'!$AF$16="Menor"),CONCATENATE("R1C",'Mapa final'!$T$16),"")</f>
        <v/>
      </c>
      <c r="T6" s="33" t="str">
        <f>IF(AND('Mapa final'!$AD$17="Muy Alta",'Mapa final'!$AF$17="Menor"),CONCATENATE("R1C",'Mapa final'!$T$17),"")</f>
        <v/>
      </c>
      <c r="U6" s="34" t="str">
        <f>IF(AND('Mapa final'!$AD$18="Muy Alta",'Mapa final'!$AF$18="Menor"),CONCATENATE("R1C",'Mapa final'!$T$18),"")</f>
        <v/>
      </c>
      <c r="V6" s="32" t="str">
        <f>IF(AND('Mapa final'!$AD$13="Muy Alta",'Mapa final'!$AF$13="Moderado"),CONCATENATE("R1C",'Mapa final'!$T$13),"")</f>
        <v/>
      </c>
      <c r="W6" s="33" t="str">
        <f>IF(AND('Mapa final'!$AD$14="Muy Alta",'Mapa final'!$AF$14="Moderado"),CONCATENATE("R1C",'Mapa final'!$T$14),"")</f>
        <v/>
      </c>
      <c r="X6" s="33" t="str">
        <f>IF(AND('Mapa final'!$AD$15="Muy Alta",'Mapa final'!$AF$15="Moderado"),CONCATENATE("R1C",'Mapa final'!$T$15),"")</f>
        <v/>
      </c>
      <c r="Y6" s="33" t="str">
        <f>IF(AND('Mapa final'!$AD$16="Muy Alta",'Mapa final'!$AF$16="Moderado"),CONCATENATE("R1C",'Mapa final'!$T$16),"")</f>
        <v/>
      </c>
      <c r="Z6" s="33" t="str">
        <f>IF(AND('Mapa final'!$AD$17="Muy Alta",'Mapa final'!$AF$17="Moderado"),CONCATENATE("R1C",'Mapa final'!$T$17),"")</f>
        <v/>
      </c>
      <c r="AA6" s="34" t="str">
        <f>IF(AND('Mapa final'!$AD$18="Muy Alta",'Mapa final'!$AF$18="Moderado"),CONCATENATE("R1C",'Mapa final'!$T$18),"")</f>
        <v/>
      </c>
      <c r="AB6" s="32" t="str">
        <f>IF(AND('Mapa final'!$AD$13="Muy Alta",'Mapa final'!$AF$13="Mayor"),CONCATENATE("R1C",'Mapa final'!$T$13),"")</f>
        <v/>
      </c>
      <c r="AC6" s="33" t="str">
        <f>IF(AND('Mapa final'!$AD$14="Muy Alta",'Mapa final'!$AF$14="Mayor"),CONCATENATE("R1C",'Mapa final'!$T$14),"")</f>
        <v/>
      </c>
      <c r="AD6" s="33" t="str">
        <f>IF(AND('Mapa final'!$AD$15="Muy Alta",'Mapa final'!$AF$15="Mayor"),CONCATENATE("R1C",'Mapa final'!$T$15),"")</f>
        <v/>
      </c>
      <c r="AE6" s="33" t="str">
        <f>IF(AND('Mapa final'!$AD$16="Muy Alta",'Mapa final'!$AF$16="Mayor"),CONCATENATE("R1C",'Mapa final'!$T$16),"")</f>
        <v/>
      </c>
      <c r="AF6" s="33" t="str">
        <f>IF(AND('Mapa final'!$AD$17="Muy Alta",'Mapa final'!$AF$17="Mayor"),CONCATENATE("R1C",'Mapa final'!$T$17),"")</f>
        <v/>
      </c>
      <c r="AG6" s="34" t="str">
        <f>IF(AND('Mapa final'!$AD$18="Muy Alta",'Mapa final'!$AF$18="Mayor"),CONCATENATE("R1C",'Mapa final'!$T$18),"")</f>
        <v/>
      </c>
      <c r="AH6" s="35" t="str">
        <f>IF(AND('Mapa final'!$AD$13="Muy Alta",'Mapa final'!$AF$13="Catastrófico"),CONCATENATE("R1C",'Mapa final'!$T$13),"")</f>
        <v/>
      </c>
      <c r="AI6" s="36" t="str">
        <f>IF(AND('Mapa final'!$AD$14="Muy Alta",'Mapa final'!$AF$14="Catastrófico"),CONCATENATE("R1C",'Mapa final'!$T$14),"")</f>
        <v/>
      </c>
      <c r="AJ6" s="36" t="str">
        <f>IF(AND('Mapa final'!$AD$15="Muy Alta",'Mapa final'!$AF$15="Catastrófico"),CONCATENATE("R1C",'Mapa final'!$T$15),"")</f>
        <v/>
      </c>
      <c r="AK6" s="36" t="str">
        <f>IF(AND('Mapa final'!$AD$16="Muy Alta",'Mapa final'!$AF$16="Catastrófico"),CONCATENATE("R1C",'Mapa final'!$T$16),"")</f>
        <v/>
      </c>
      <c r="AL6" s="36" t="str">
        <f>IF(AND('Mapa final'!$AD$17="Muy Alta",'Mapa final'!$AF$17="Catastrófico"),CONCATENATE("R1C",'Mapa final'!$T$17),"")</f>
        <v/>
      </c>
      <c r="AM6" s="37" t="str">
        <f>IF(AND('Mapa final'!$AD$18="Muy Alta",'Mapa final'!$AF$18="Catastrófico"),CONCATENATE("R1C",'Mapa final'!$T$18),"")</f>
        <v/>
      </c>
      <c r="AN6" s="69"/>
      <c r="AO6" s="501" t="s">
        <v>79</v>
      </c>
      <c r="AP6" s="502"/>
      <c r="AQ6" s="502"/>
      <c r="AR6" s="502"/>
      <c r="AS6" s="502"/>
      <c r="AT6" s="503"/>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399"/>
      <c r="C7" s="399"/>
      <c r="D7" s="400"/>
      <c r="E7" s="498"/>
      <c r="F7" s="497"/>
      <c r="G7" s="497"/>
      <c r="H7" s="497"/>
      <c r="I7" s="513"/>
      <c r="J7" s="38" t="str">
        <f>IF(AND('Mapa final'!$AD$19="Muy Alta",'Mapa final'!$AF$19="Leve"),CONCATENATE("R2C",'Mapa final'!$T$19),"")</f>
        <v/>
      </c>
      <c r="K7" s="39" t="str">
        <f>IF(AND('Mapa final'!$AD$20="Muy Alta",'Mapa final'!$AF$20="Leve"),CONCATENATE("R2C",'Mapa final'!$T$20),"")</f>
        <v/>
      </c>
      <c r="L7" s="39" t="str">
        <f>IF(AND('Mapa final'!$AD$21="Muy Alta",'Mapa final'!$AF$21="Leve"),CONCATENATE("R2C",'Mapa final'!$T$21),"")</f>
        <v/>
      </c>
      <c r="M7" s="39" t="str">
        <f>IF(AND('Mapa final'!$AD$22="Muy Alta",'Mapa final'!$AF$22="Leve"),CONCATENATE("R2C",'Mapa final'!$T$22),"")</f>
        <v/>
      </c>
      <c r="N7" s="39" t="str">
        <f>IF(AND('Mapa final'!$AD$23="Muy Alta",'Mapa final'!$AF$23="Leve"),CONCATENATE("R2C",'Mapa final'!$T$23),"")</f>
        <v/>
      </c>
      <c r="O7" s="40" t="str">
        <f>IF(AND('Mapa final'!$AD$24="Muy Alta",'Mapa final'!$AF$24="Leve"),CONCATENATE("R2C",'Mapa final'!$T$24),"")</f>
        <v/>
      </c>
      <c r="P7" s="38" t="str">
        <f>IF(AND('Mapa final'!$AD$19="Muy Alta",'Mapa final'!$AF$19="Menor"),CONCATENATE("R2C",'Mapa final'!$T$19),"")</f>
        <v/>
      </c>
      <c r="Q7" s="39" t="str">
        <f>IF(AND('Mapa final'!$AD$20="Muy Alta",'Mapa final'!$AF$20="Menor"),CONCATENATE("R2C",'Mapa final'!$T$20),"")</f>
        <v/>
      </c>
      <c r="R7" s="39" t="str">
        <f>IF(AND('Mapa final'!$AD$21="Muy Alta",'Mapa final'!$AF$21="Menor"),CONCATENATE("R2C",'Mapa final'!$T$21),"")</f>
        <v/>
      </c>
      <c r="S7" s="39" t="str">
        <f>IF(AND('Mapa final'!$AD$22="Muy Alta",'Mapa final'!$AF$22="Menor"),CONCATENATE("R2C",'Mapa final'!$T$22),"")</f>
        <v/>
      </c>
      <c r="T7" s="39" t="str">
        <f>IF(AND('Mapa final'!$AD$23="Muy Alta",'Mapa final'!$AF$23="Menor"),CONCATENATE("R2C",'Mapa final'!$T$23),"")</f>
        <v/>
      </c>
      <c r="U7" s="40" t="str">
        <f>IF(AND('Mapa final'!$AD$24="Muy Alta",'Mapa final'!$AF$24="Menor"),CONCATENATE("R2C",'Mapa final'!$T$24),"")</f>
        <v/>
      </c>
      <c r="V7" s="38" t="str">
        <f>IF(AND('Mapa final'!$AD$19="Muy Alta",'Mapa final'!$AF$19="Moderado"),CONCATENATE("R2C",'Mapa final'!$T$19),"")</f>
        <v/>
      </c>
      <c r="W7" s="39" t="str">
        <f>IF(AND('Mapa final'!$AD$20="Muy Alta",'Mapa final'!$AF$20="Moderado"),CONCATENATE("R2C",'Mapa final'!$T$20),"")</f>
        <v/>
      </c>
      <c r="X7" s="39" t="str">
        <f>IF(AND('Mapa final'!$AD$21="Muy Alta",'Mapa final'!$AF$21="Moderado"),CONCATENATE("R2C",'Mapa final'!$T$21),"")</f>
        <v/>
      </c>
      <c r="Y7" s="39" t="str">
        <f>IF(AND('Mapa final'!$AD$22="Muy Alta",'Mapa final'!$AF$22="Moderado"),CONCATENATE("R2C",'Mapa final'!$T$22),"")</f>
        <v/>
      </c>
      <c r="Z7" s="39" t="str">
        <f>IF(AND('Mapa final'!$AD$23="Muy Alta",'Mapa final'!$AF$23="Moderado"),CONCATENATE("R2C",'Mapa final'!$T$23),"")</f>
        <v/>
      </c>
      <c r="AA7" s="40" t="str">
        <f>IF(AND('Mapa final'!$AD$24="Muy Alta",'Mapa final'!$AF$24="Moderado"),CONCATENATE("R2C",'Mapa final'!$T$24),"")</f>
        <v/>
      </c>
      <c r="AB7" s="38" t="str">
        <f>IF(AND('Mapa final'!$AD$19="Muy Alta",'Mapa final'!$AF$19="Mayor"),CONCATENATE("R2C",'Mapa final'!$T$19),"")</f>
        <v/>
      </c>
      <c r="AC7" s="39" t="str">
        <f>IF(AND('Mapa final'!$AD$20="Muy Alta",'Mapa final'!$AF$20="Mayor"),CONCATENATE("R2C",'Mapa final'!$T$20),"")</f>
        <v/>
      </c>
      <c r="AD7" s="39" t="str">
        <f>IF(AND('Mapa final'!$AD$21="Muy Alta",'Mapa final'!$AF$21="Mayor"),CONCATENATE("R2C",'Mapa final'!$T$21),"")</f>
        <v/>
      </c>
      <c r="AE7" s="39" t="str">
        <f>IF(AND('Mapa final'!$AD$22="Muy Alta",'Mapa final'!$AF$22="Mayor"),CONCATENATE("R2C",'Mapa final'!$T$22),"")</f>
        <v/>
      </c>
      <c r="AF7" s="39" t="str">
        <f>IF(AND('Mapa final'!$AD$23="Muy Alta",'Mapa final'!$AF$23="Mayor"),CONCATENATE("R2C",'Mapa final'!$T$23),"")</f>
        <v/>
      </c>
      <c r="AG7" s="40" t="str">
        <f>IF(AND('Mapa final'!$AD$24="Muy Alta",'Mapa final'!$AF$24="Mayor"),CONCATENATE("R2C",'Mapa final'!$T$24),"")</f>
        <v/>
      </c>
      <c r="AH7" s="41" t="str">
        <f>IF(AND('Mapa final'!$AD$19="Muy Alta",'Mapa final'!$AF$19="Catastrófico"),CONCATENATE("R2C",'Mapa final'!$T$19),"")</f>
        <v/>
      </c>
      <c r="AI7" s="42" t="str">
        <f>IF(AND('Mapa final'!$AD$20="Muy Alta",'Mapa final'!$AF$20="Catastrófico"),CONCATENATE("R2C",'Mapa final'!$T$20),"")</f>
        <v/>
      </c>
      <c r="AJ7" s="42" t="str">
        <f>IF(AND('Mapa final'!$AD$21="Muy Alta",'Mapa final'!$AF$21="Catastrófico"),CONCATENATE("R2C",'Mapa final'!$T$21),"")</f>
        <v/>
      </c>
      <c r="AK7" s="42" t="str">
        <f>IF(AND('Mapa final'!$AD$22="Muy Alta",'Mapa final'!$AF$22="Catastrófico"),CONCATENATE("R2C",'Mapa final'!$T$22),"")</f>
        <v/>
      </c>
      <c r="AL7" s="42" t="str">
        <f>IF(AND('Mapa final'!$AD$23="Muy Alta",'Mapa final'!$AF$23="Catastrófico"),CONCATENATE("R2C",'Mapa final'!$T$23),"")</f>
        <v/>
      </c>
      <c r="AM7" s="43" t="str">
        <f>IF(AND('Mapa final'!$AD$24="Muy Alta",'Mapa final'!$AF$24="Catastrófico"),CONCATENATE("R2C",'Mapa final'!$T$24),"")</f>
        <v/>
      </c>
      <c r="AN7" s="69"/>
      <c r="AO7" s="504"/>
      <c r="AP7" s="505"/>
      <c r="AQ7" s="505"/>
      <c r="AR7" s="505"/>
      <c r="AS7" s="505"/>
      <c r="AT7" s="506"/>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399"/>
      <c r="C8" s="399"/>
      <c r="D8" s="400"/>
      <c r="E8" s="498"/>
      <c r="F8" s="497"/>
      <c r="G8" s="497"/>
      <c r="H8" s="497"/>
      <c r="I8" s="513"/>
      <c r="J8" s="38" t="str">
        <f>IF(AND('Mapa final'!$AD$25="Muy Alta",'Mapa final'!$AF$25="Leve"),CONCATENATE("R3C",'Mapa final'!$T$25),"")</f>
        <v/>
      </c>
      <c r="K8" s="39" t="str">
        <f>IF(AND('Mapa final'!$AD$26="Muy Alta",'Mapa final'!$AF$26="Leve"),CONCATENATE("R3C",'Mapa final'!$T$26),"")</f>
        <v/>
      </c>
      <c r="L8" s="39" t="str">
        <f>IF(AND('Mapa final'!$AD$27="Muy Alta",'Mapa final'!$AF$27="Leve"),CONCATENATE("R3C",'Mapa final'!$T$27),"")</f>
        <v/>
      </c>
      <c r="M8" s="39" t="str">
        <f>IF(AND('Mapa final'!$AD$28="Muy Alta",'Mapa final'!$AF$28="Leve"),CONCATENATE("R3C",'Mapa final'!$T$28),"")</f>
        <v/>
      </c>
      <c r="N8" s="39" t="str">
        <f>IF(AND('Mapa final'!$AD$29="Muy Alta",'Mapa final'!$AF$29="Leve"),CONCATENATE("R3C",'Mapa final'!$T$29),"")</f>
        <v/>
      </c>
      <c r="O8" s="40" t="str">
        <f>IF(AND('Mapa final'!$AD$30="Muy Alta",'Mapa final'!$AF$30="Leve"),CONCATENATE("R3C",'Mapa final'!$T$30),"")</f>
        <v/>
      </c>
      <c r="P8" s="38" t="str">
        <f>IF(AND('Mapa final'!$AD$25="Muy Alta",'Mapa final'!$AF$25="Menor"),CONCATENATE("R3C",'Mapa final'!$T$25),"")</f>
        <v/>
      </c>
      <c r="Q8" s="39" t="str">
        <f>IF(AND('Mapa final'!$AD$26="Muy Alta",'Mapa final'!$AF$26="Menor"),CONCATENATE("R3C",'Mapa final'!$T$26),"")</f>
        <v/>
      </c>
      <c r="R8" s="39" t="str">
        <f>IF(AND('Mapa final'!$AD$27="Muy Alta",'Mapa final'!$AF$27="Menor"),CONCATENATE("R3C",'Mapa final'!$T$27),"")</f>
        <v/>
      </c>
      <c r="S8" s="39" t="str">
        <f>IF(AND('Mapa final'!$AD$28="Muy Alta",'Mapa final'!$AF$28="Menor"),CONCATENATE("R3C",'Mapa final'!$T$28),"")</f>
        <v/>
      </c>
      <c r="T8" s="39" t="str">
        <f>IF(AND('Mapa final'!$AD$29="Muy Alta",'Mapa final'!$AF$29="Menor"),CONCATENATE("R3C",'Mapa final'!$T$29),"")</f>
        <v/>
      </c>
      <c r="U8" s="40" t="str">
        <f>IF(AND('Mapa final'!$AD$30="Muy Alta",'Mapa final'!$AF$30="Menor"),CONCATENATE("R3C",'Mapa final'!$T$30),"")</f>
        <v/>
      </c>
      <c r="V8" s="38" t="str">
        <f>IF(AND('Mapa final'!$AD$25="Muy Alta",'Mapa final'!$AF$25="Moderado"),CONCATENATE("R3C",'Mapa final'!$T$25),"")</f>
        <v/>
      </c>
      <c r="W8" s="39" t="str">
        <f>IF(AND('Mapa final'!$AD$26="Muy Alta",'Mapa final'!$AF$26="Moderado"),CONCATENATE("R3C",'Mapa final'!$T$26),"")</f>
        <v/>
      </c>
      <c r="X8" s="39" t="str">
        <f>IF(AND('Mapa final'!$AD$27="Muy Alta",'Mapa final'!$AF$27="Moderado"),CONCATENATE("R3C",'Mapa final'!$T$27),"")</f>
        <v/>
      </c>
      <c r="Y8" s="39" t="str">
        <f>IF(AND('Mapa final'!$AD$28="Muy Alta",'Mapa final'!$AF$28="Moderado"),CONCATENATE("R3C",'Mapa final'!$T$28),"")</f>
        <v/>
      </c>
      <c r="Z8" s="39" t="str">
        <f>IF(AND('Mapa final'!$AD$29="Muy Alta",'Mapa final'!$AF$29="Moderado"),CONCATENATE("R3C",'Mapa final'!$T$29),"")</f>
        <v/>
      </c>
      <c r="AA8" s="40" t="str">
        <f>IF(AND('Mapa final'!$AD$30="Muy Alta",'Mapa final'!$AF$30="Moderado"),CONCATENATE("R3C",'Mapa final'!$T$30),"")</f>
        <v/>
      </c>
      <c r="AB8" s="38" t="str">
        <f>IF(AND('Mapa final'!$AD$25="Muy Alta",'Mapa final'!$AF$25="Mayor"),CONCATENATE("R3C",'Mapa final'!$T$25),"")</f>
        <v/>
      </c>
      <c r="AC8" s="39" t="str">
        <f>IF(AND('Mapa final'!$AD$26="Muy Alta",'Mapa final'!$AF$26="Mayor"),CONCATENATE("R3C",'Mapa final'!$T$26),"")</f>
        <v/>
      </c>
      <c r="AD8" s="39" t="str">
        <f>IF(AND('Mapa final'!$AD$27="Muy Alta",'Mapa final'!$AF$27="Mayor"),CONCATENATE("R3C",'Mapa final'!$T$27),"")</f>
        <v/>
      </c>
      <c r="AE8" s="39" t="str">
        <f>IF(AND('Mapa final'!$AD$28="Muy Alta",'Mapa final'!$AF$28="Mayor"),CONCATENATE("R3C",'Mapa final'!$T$28),"")</f>
        <v/>
      </c>
      <c r="AF8" s="39" t="str">
        <f>IF(AND('Mapa final'!$AD$29="Muy Alta",'Mapa final'!$AF$29="Mayor"),CONCATENATE("R3C",'Mapa final'!$T$29),"")</f>
        <v/>
      </c>
      <c r="AG8" s="40" t="str">
        <f>IF(AND('Mapa final'!$AD$30="Muy Alta",'Mapa final'!$AF$30="Mayor"),CONCATENATE("R3C",'Mapa final'!$T$30),"")</f>
        <v/>
      </c>
      <c r="AH8" s="41" t="str">
        <f>IF(AND('Mapa final'!$AD$25="Muy Alta",'Mapa final'!$AF$25="Catastrófico"),CONCATENATE("R3C",'Mapa final'!$T$25),"")</f>
        <v/>
      </c>
      <c r="AI8" s="42" t="str">
        <f>IF(AND('Mapa final'!$AD$26="Muy Alta",'Mapa final'!$AF$26="Catastrófico"),CONCATENATE("R3C",'Mapa final'!$T$26),"")</f>
        <v/>
      </c>
      <c r="AJ8" s="42" t="str">
        <f>IF(AND('Mapa final'!$AD$27="Muy Alta",'Mapa final'!$AF$27="Catastrófico"),CONCATENATE("R3C",'Mapa final'!$T$27),"")</f>
        <v/>
      </c>
      <c r="AK8" s="42" t="str">
        <f>IF(AND('Mapa final'!$AD$28="Muy Alta",'Mapa final'!$AF$28="Catastrófico"),CONCATENATE("R3C",'Mapa final'!$T$28),"")</f>
        <v/>
      </c>
      <c r="AL8" s="42" t="str">
        <f>IF(AND('Mapa final'!$AD$29="Muy Alta",'Mapa final'!$AF$29="Catastrófico"),CONCATENATE("R3C",'Mapa final'!$T$29),"")</f>
        <v/>
      </c>
      <c r="AM8" s="43" t="str">
        <f>IF(AND('Mapa final'!$AD$30="Muy Alta",'Mapa final'!$AF$30="Catastrófico"),CONCATENATE("R3C",'Mapa final'!$T$30),"")</f>
        <v/>
      </c>
      <c r="AN8" s="69"/>
      <c r="AO8" s="504"/>
      <c r="AP8" s="505"/>
      <c r="AQ8" s="505"/>
      <c r="AR8" s="505"/>
      <c r="AS8" s="505"/>
      <c r="AT8" s="506"/>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399"/>
      <c r="C9" s="399"/>
      <c r="D9" s="400"/>
      <c r="E9" s="498"/>
      <c r="F9" s="497"/>
      <c r="G9" s="497"/>
      <c r="H9" s="497"/>
      <c r="I9" s="513"/>
      <c r="J9" s="38" t="str">
        <f>IF(AND('Mapa final'!$AD$31="Muy Alta",'Mapa final'!$AF$31="Leve"),CONCATENATE("R4C",'Mapa final'!$T$31),"")</f>
        <v/>
      </c>
      <c r="K9" s="39" t="str">
        <f>IF(AND('Mapa final'!$AD$32="Muy Alta",'Mapa final'!$AF$32="Leve"),CONCATENATE("R4C",'Mapa final'!$T$32),"")</f>
        <v/>
      </c>
      <c r="L9" s="39" t="str">
        <f>IF(AND('Mapa final'!$AD$33="Muy Alta",'Mapa final'!$AF$33="Leve"),CONCATENATE("R4C",'Mapa final'!$T$33),"")</f>
        <v/>
      </c>
      <c r="M9" s="39" t="str">
        <f>IF(AND('Mapa final'!$AD$34="Muy Alta",'Mapa final'!$AF$34="Leve"),CONCATENATE("R4C",'Mapa final'!$T$34),"")</f>
        <v/>
      </c>
      <c r="N9" s="39" t="str">
        <f>IF(AND('Mapa final'!$AD$35="Muy Alta",'Mapa final'!$AF$35="Leve"),CONCATENATE("R4C",'Mapa final'!$T$35),"")</f>
        <v/>
      </c>
      <c r="O9" s="40" t="str">
        <f>IF(AND('Mapa final'!$AD$36="Muy Alta",'Mapa final'!$AF$36="Leve"),CONCATENATE("R4C",'Mapa final'!$T$36),"")</f>
        <v/>
      </c>
      <c r="P9" s="38" t="str">
        <f>IF(AND('Mapa final'!$AD$31="Muy Alta",'Mapa final'!$AF$31="Menor"),CONCATENATE("R4C",'Mapa final'!$T$31),"")</f>
        <v/>
      </c>
      <c r="Q9" s="39" t="str">
        <f>IF(AND('Mapa final'!$AD$32="Muy Alta",'Mapa final'!$AF$32="Menor"),CONCATENATE("R4C",'Mapa final'!$T$32),"")</f>
        <v/>
      </c>
      <c r="R9" s="39" t="str">
        <f>IF(AND('Mapa final'!$AD$33="Muy Alta",'Mapa final'!$AF$33="Menor"),CONCATENATE("R4C",'Mapa final'!$T$33),"")</f>
        <v/>
      </c>
      <c r="S9" s="39" t="str">
        <f>IF(AND('Mapa final'!$AD$34="Muy Alta",'Mapa final'!$AF$34="Menor"),CONCATENATE("R4C",'Mapa final'!$T$34),"")</f>
        <v/>
      </c>
      <c r="T9" s="39" t="str">
        <f>IF(AND('Mapa final'!$AD$35="Muy Alta",'Mapa final'!$AF$35="Menor"),CONCATENATE("R4C",'Mapa final'!$T$35),"")</f>
        <v/>
      </c>
      <c r="U9" s="40" t="str">
        <f>IF(AND('Mapa final'!$AD$36="Muy Alta",'Mapa final'!$AF$36="Menor"),CONCATENATE("R4C",'Mapa final'!$T$36),"")</f>
        <v/>
      </c>
      <c r="V9" s="38" t="str">
        <f>IF(AND('Mapa final'!$AD$31="Muy Alta",'Mapa final'!$AF$31="Moderado"),CONCATENATE("R4C",'Mapa final'!$T$31),"")</f>
        <v/>
      </c>
      <c r="W9" s="39" t="str">
        <f>IF(AND('Mapa final'!$AD$32="Muy Alta",'Mapa final'!$AF$32="Moderado"),CONCATENATE("R4C",'Mapa final'!$T$32),"")</f>
        <v/>
      </c>
      <c r="X9" s="39" t="str">
        <f>IF(AND('Mapa final'!$AD$33="Muy Alta",'Mapa final'!$AF$33="Moderado"),CONCATENATE("R4C",'Mapa final'!$T$33),"")</f>
        <v/>
      </c>
      <c r="Y9" s="39" t="str">
        <f>IF(AND('Mapa final'!$AD$34="Muy Alta",'Mapa final'!$AF$34="Moderado"),CONCATENATE("R4C",'Mapa final'!$T$34),"")</f>
        <v/>
      </c>
      <c r="Z9" s="39" t="str">
        <f>IF(AND('Mapa final'!$AD$35="Muy Alta",'Mapa final'!$AF$35="Moderado"),CONCATENATE("R4C",'Mapa final'!$T$35),"")</f>
        <v/>
      </c>
      <c r="AA9" s="40" t="str">
        <f>IF(AND('Mapa final'!$AD$36="Muy Alta",'Mapa final'!$AF$36="Moderado"),CONCATENATE("R4C",'Mapa final'!$T$36),"")</f>
        <v/>
      </c>
      <c r="AB9" s="38" t="str">
        <f>IF(AND('Mapa final'!$AD$31="Muy Alta",'Mapa final'!$AF$31="Mayor"),CONCATENATE("R4C",'Mapa final'!$T$31),"")</f>
        <v/>
      </c>
      <c r="AC9" s="39" t="str">
        <f>IF(AND('Mapa final'!$AD$32="Muy Alta",'Mapa final'!$AF$32="Mayor"),CONCATENATE("R4C",'Mapa final'!$T$32),"")</f>
        <v/>
      </c>
      <c r="AD9" s="39" t="str">
        <f>IF(AND('Mapa final'!$AD$33="Muy Alta",'Mapa final'!$AF$33="Mayor"),CONCATENATE("R4C",'Mapa final'!$T$33),"")</f>
        <v/>
      </c>
      <c r="AE9" s="39" t="str">
        <f>IF(AND('Mapa final'!$AD$34="Muy Alta",'Mapa final'!$AF$34="Mayor"),CONCATENATE("R4C",'Mapa final'!$T$34),"")</f>
        <v/>
      </c>
      <c r="AF9" s="39" t="str">
        <f>IF(AND('Mapa final'!$AD$35="Muy Alta",'Mapa final'!$AF$35="Mayor"),CONCATENATE("R4C",'Mapa final'!$T$35),"")</f>
        <v/>
      </c>
      <c r="AG9" s="40" t="str">
        <f>IF(AND('Mapa final'!$AD$36="Muy Alta",'Mapa final'!$AF$36="Mayor"),CONCATENATE("R4C",'Mapa final'!$T$36),"")</f>
        <v/>
      </c>
      <c r="AH9" s="41" t="str">
        <f>IF(AND('Mapa final'!$AD$31="Muy Alta",'Mapa final'!$AF$31="Catastrófico"),CONCATENATE("R4C",'Mapa final'!$T$31),"")</f>
        <v/>
      </c>
      <c r="AI9" s="42" t="str">
        <f>IF(AND('Mapa final'!$AD$32="Muy Alta",'Mapa final'!$AF$32="Catastrófico"),CONCATENATE("R4C",'Mapa final'!$T$32),"")</f>
        <v/>
      </c>
      <c r="AJ9" s="42" t="str">
        <f>IF(AND('Mapa final'!$AD$33="Muy Alta",'Mapa final'!$AF$33="Catastrófico"),CONCATENATE("R4C",'Mapa final'!$T$33),"")</f>
        <v/>
      </c>
      <c r="AK9" s="42" t="str">
        <f>IF(AND('Mapa final'!$AD$34="Muy Alta",'Mapa final'!$AF$34="Catastrófico"),CONCATENATE("R4C",'Mapa final'!$T$34),"")</f>
        <v/>
      </c>
      <c r="AL9" s="42" t="str">
        <f>IF(AND('Mapa final'!$AD$35="Muy Alta",'Mapa final'!$AF$35="Catastrófico"),CONCATENATE("R4C",'Mapa final'!$T$35),"")</f>
        <v/>
      </c>
      <c r="AM9" s="43" t="str">
        <f>IF(AND('Mapa final'!$AD$36="Muy Alta",'Mapa final'!$AF$36="Catastrófico"),CONCATENATE("R4C",'Mapa final'!$T$36),"")</f>
        <v/>
      </c>
      <c r="AN9" s="69"/>
      <c r="AO9" s="504"/>
      <c r="AP9" s="505"/>
      <c r="AQ9" s="505"/>
      <c r="AR9" s="505"/>
      <c r="AS9" s="505"/>
      <c r="AT9" s="506"/>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399"/>
      <c r="C10" s="399"/>
      <c r="D10" s="400"/>
      <c r="E10" s="498"/>
      <c r="F10" s="497"/>
      <c r="G10" s="497"/>
      <c r="H10" s="497"/>
      <c r="I10" s="513"/>
      <c r="J10" s="38" t="str">
        <f>IF(AND('Mapa final'!$AD$37="Muy Alta",'Mapa final'!$AF$37="Leve"),CONCATENATE("R5C",'Mapa final'!$T$37),"")</f>
        <v/>
      </c>
      <c r="K10" s="39" t="str">
        <f>IF(AND('Mapa final'!$AD$38="Muy Alta",'Mapa final'!$AF$38="Leve"),CONCATENATE("R5C",'Mapa final'!$T$38),"")</f>
        <v/>
      </c>
      <c r="L10" s="39" t="str">
        <f>IF(AND('Mapa final'!$AD$39="Muy Alta",'Mapa final'!$AF$39="Leve"),CONCATENATE("R5C",'Mapa final'!$T$39),"")</f>
        <v/>
      </c>
      <c r="M10" s="39" t="str">
        <f>IF(AND('Mapa final'!$AD$40="Muy Alta",'Mapa final'!$AF$40="Leve"),CONCATENATE("R5C",'Mapa final'!$T$40),"")</f>
        <v/>
      </c>
      <c r="N10" s="39" t="str">
        <f>IF(AND('Mapa final'!$AD$41="Muy Alta",'Mapa final'!$AF$41="Leve"),CONCATENATE("R5C",'Mapa final'!$T$41),"")</f>
        <v/>
      </c>
      <c r="O10" s="40" t="str">
        <f>IF(AND('Mapa final'!$AD$42="Muy Alta",'Mapa final'!$AF$42="Leve"),CONCATENATE("R5C",'Mapa final'!$T$42),"")</f>
        <v/>
      </c>
      <c r="P10" s="38" t="str">
        <f>IF(AND('Mapa final'!$AD$37="Muy Alta",'Mapa final'!$AF$37="Menor"),CONCATENATE("R5C",'Mapa final'!$T$37),"")</f>
        <v/>
      </c>
      <c r="Q10" s="39" t="str">
        <f>IF(AND('Mapa final'!$AD$38="Muy Alta",'Mapa final'!$AF$38="Menor"),CONCATENATE("R5C",'Mapa final'!$T$38),"")</f>
        <v/>
      </c>
      <c r="R10" s="39" t="str">
        <f>IF(AND('Mapa final'!$AD$39="Muy Alta",'Mapa final'!$AF$39="Menor"),CONCATENATE("R5C",'Mapa final'!$T$39),"")</f>
        <v/>
      </c>
      <c r="S10" s="39" t="str">
        <f>IF(AND('Mapa final'!$AD$40="Muy Alta",'Mapa final'!$AF$40="Menor"),CONCATENATE("R5C",'Mapa final'!$T$40),"")</f>
        <v/>
      </c>
      <c r="T10" s="39" t="str">
        <f>IF(AND('Mapa final'!$AD$41="Muy Alta",'Mapa final'!$AF$41="Menor"),CONCATENATE("R5C",'Mapa final'!$T$41),"")</f>
        <v/>
      </c>
      <c r="U10" s="40" t="str">
        <f>IF(AND('Mapa final'!$AD$42="Muy Alta",'Mapa final'!$AF$42="Menor"),CONCATENATE("R5C",'Mapa final'!$T$42),"")</f>
        <v/>
      </c>
      <c r="V10" s="38" t="str">
        <f>IF(AND('Mapa final'!$AD$37="Muy Alta",'Mapa final'!$AF$37="Moderado"),CONCATENATE("R5C",'Mapa final'!$T$37),"")</f>
        <v/>
      </c>
      <c r="W10" s="39" t="str">
        <f>IF(AND('Mapa final'!$AD$38="Muy Alta",'Mapa final'!$AF$38="Moderado"),CONCATENATE("R5C",'Mapa final'!$T$38),"")</f>
        <v/>
      </c>
      <c r="X10" s="39" t="str">
        <f>IF(AND('Mapa final'!$AD$39="Muy Alta",'Mapa final'!$AF$39="Moderado"),CONCATENATE("R5C",'Mapa final'!$T$39),"")</f>
        <v/>
      </c>
      <c r="Y10" s="39" t="str">
        <f>IF(AND('Mapa final'!$AD$40="Muy Alta",'Mapa final'!$AF$40="Moderado"),CONCATENATE("R5C",'Mapa final'!$T$40),"")</f>
        <v/>
      </c>
      <c r="Z10" s="39" t="str">
        <f>IF(AND('Mapa final'!$AD$41="Muy Alta",'Mapa final'!$AF$41="Moderado"),CONCATENATE("R5C",'Mapa final'!$T$41),"")</f>
        <v/>
      </c>
      <c r="AA10" s="40" t="str">
        <f>IF(AND('Mapa final'!$AD$42="Muy Alta",'Mapa final'!$AF$42="Moderado"),CONCATENATE("R5C",'Mapa final'!$T$42),"")</f>
        <v/>
      </c>
      <c r="AB10" s="38" t="str">
        <f>IF(AND('Mapa final'!$AD$37="Muy Alta",'Mapa final'!$AF$37="Mayor"),CONCATENATE("R5C",'Mapa final'!$T$37),"")</f>
        <v/>
      </c>
      <c r="AC10" s="39" t="str">
        <f>IF(AND('Mapa final'!$AD$38="Muy Alta",'Mapa final'!$AF$38="Mayor"),CONCATENATE("R5C",'Mapa final'!$T$38),"")</f>
        <v/>
      </c>
      <c r="AD10" s="39" t="str">
        <f>IF(AND('Mapa final'!$AD$39="Muy Alta",'Mapa final'!$AF$39="Mayor"),CONCATENATE("R5C",'Mapa final'!$T$39),"")</f>
        <v/>
      </c>
      <c r="AE10" s="39" t="str">
        <f>IF(AND('Mapa final'!$AD$40="Muy Alta",'Mapa final'!$AF$40="Mayor"),CONCATENATE("R5C",'Mapa final'!$T$40),"")</f>
        <v/>
      </c>
      <c r="AF10" s="39" t="str">
        <f>IF(AND('Mapa final'!$AD$41="Muy Alta",'Mapa final'!$AF$41="Mayor"),CONCATENATE("R5C",'Mapa final'!$T$41),"")</f>
        <v/>
      </c>
      <c r="AG10" s="40" t="str">
        <f>IF(AND('Mapa final'!$AD$42="Muy Alta",'Mapa final'!$AF$42="Mayor"),CONCATENATE("R5C",'Mapa final'!$T$42),"")</f>
        <v/>
      </c>
      <c r="AH10" s="41" t="str">
        <f>IF(AND('Mapa final'!$AD$37="Muy Alta",'Mapa final'!$AF$37="Catastrófico"),CONCATENATE("R5C",'Mapa final'!$T$37),"")</f>
        <v/>
      </c>
      <c r="AI10" s="42" t="str">
        <f>IF(AND('Mapa final'!$AD$38="Muy Alta",'Mapa final'!$AF$38="Catastrófico"),CONCATENATE("R5C",'Mapa final'!$T$38),"")</f>
        <v/>
      </c>
      <c r="AJ10" s="42" t="str">
        <f>IF(AND('Mapa final'!$AD$39="Muy Alta",'Mapa final'!$AF$39="Catastrófico"),CONCATENATE("R5C",'Mapa final'!$T$39),"")</f>
        <v/>
      </c>
      <c r="AK10" s="42" t="str">
        <f>IF(AND('Mapa final'!$AD$40="Muy Alta",'Mapa final'!$AF$40="Catastrófico"),CONCATENATE("R5C",'Mapa final'!$T$40),"")</f>
        <v/>
      </c>
      <c r="AL10" s="42" t="str">
        <f>IF(AND('Mapa final'!$AD$41="Muy Alta",'Mapa final'!$AF$41="Catastrófico"),CONCATENATE("R5C",'Mapa final'!$T$41),"")</f>
        <v/>
      </c>
      <c r="AM10" s="43" t="str">
        <f>IF(AND('Mapa final'!$AD$42="Muy Alta",'Mapa final'!$AF$42="Catastrófico"),CONCATENATE("R5C",'Mapa final'!$T$42),"")</f>
        <v/>
      </c>
      <c r="AN10" s="69"/>
      <c r="AO10" s="504"/>
      <c r="AP10" s="505"/>
      <c r="AQ10" s="505"/>
      <c r="AR10" s="505"/>
      <c r="AS10" s="505"/>
      <c r="AT10" s="506"/>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399"/>
      <c r="C11" s="399"/>
      <c r="D11" s="400"/>
      <c r="E11" s="498"/>
      <c r="F11" s="497"/>
      <c r="G11" s="497"/>
      <c r="H11" s="497"/>
      <c r="I11" s="513"/>
      <c r="J11" s="38" t="str">
        <f>IF(AND('Mapa final'!$AD$43="Muy Alta",'Mapa final'!$AF$43="Leve"),CONCATENATE("R6C",'Mapa final'!$T$43),"")</f>
        <v/>
      </c>
      <c r="K11" s="39" t="str">
        <f>IF(AND('Mapa final'!$AD$44="Muy Alta",'Mapa final'!$AF$44="Leve"),CONCATENATE("R6C",'Mapa final'!$T$44),"")</f>
        <v/>
      </c>
      <c r="L11" s="39" t="str">
        <f>IF(AND('Mapa final'!$AD$45="Muy Alta",'Mapa final'!$AF$45="Leve"),CONCATENATE("R6C",'Mapa final'!$T$45),"")</f>
        <v/>
      </c>
      <c r="M11" s="39" t="str">
        <f>IF(AND('Mapa final'!$AD$46="Muy Alta",'Mapa final'!$AF$46="Leve"),CONCATENATE("R6C",'Mapa final'!$T$46),"")</f>
        <v/>
      </c>
      <c r="N11" s="39" t="str">
        <f>IF(AND('Mapa final'!$AD$47="Muy Alta",'Mapa final'!$AF$47="Leve"),CONCATENATE("R6C",'Mapa final'!$T$47),"")</f>
        <v/>
      </c>
      <c r="O11" s="40" t="str">
        <f>IF(AND('Mapa final'!$AD$48="Muy Alta",'Mapa final'!$AF$48="Leve"),CONCATENATE("R6C",'Mapa final'!$T$48),"")</f>
        <v/>
      </c>
      <c r="P11" s="38" t="str">
        <f>IF(AND('Mapa final'!$AD$43="Muy Alta",'Mapa final'!$AF$43="Menor"),CONCATENATE("R6C",'Mapa final'!$T$43),"")</f>
        <v/>
      </c>
      <c r="Q11" s="39" t="str">
        <f>IF(AND('Mapa final'!$AD$44="Muy Alta",'Mapa final'!$AF$44="Menor"),CONCATENATE("R6C",'Mapa final'!$T$44),"")</f>
        <v/>
      </c>
      <c r="R11" s="39" t="str">
        <f>IF(AND('Mapa final'!$AD$45="Muy Alta",'Mapa final'!$AF$45="Menor"),CONCATENATE("R6C",'Mapa final'!$T$45),"")</f>
        <v/>
      </c>
      <c r="S11" s="39" t="str">
        <f>IF(AND('Mapa final'!$AD$46="Muy Alta",'Mapa final'!$AF$46="Menor"),CONCATENATE("R6C",'Mapa final'!$T$46),"")</f>
        <v/>
      </c>
      <c r="T11" s="39" t="str">
        <f>IF(AND('Mapa final'!$AD$47="Muy Alta",'Mapa final'!$AF$47="Menor"),CONCATENATE("R6C",'Mapa final'!$T$47),"")</f>
        <v/>
      </c>
      <c r="U11" s="40" t="str">
        <f>IF(AND('Mapa final'!$AD$48="Muy Alta",'Mapa final'!$AF$48="Menor"),CONCATENATE("R6C",'Mapa final'!$T$48),"")</f>
        <v/>
      </c>
      <c r="V11" s="38" t="str">
        <f>IF(AND('Mapa final'!$AD$43="Muy Alta",'Mapa final'!$AF$43="Moderado"),CONCATENATE("R6C",'Mapa final'!$T$43),"")</f>
        <v/>
      </c>
      <c r="W11" s="39" t="str">
        <f>IF(AND('Mapa final'!$AD$44="Muy Alta",'Mapa final'!$AF$44="Moderado"),CONCATENATE("R6C",'Mapa final'!$T$44),"")</f>
        <v/>
      </c>
      <c r="X11" s="39" t="str">
        <f>IF(AND('Mapa final'!$AD$45="Muy Alta",'Mapa final'!$AF$45="Moderado"),CONCATENATE("R6C",'Mapa final'!$T$45),"")</f>
        <v/>
      </c>
      <c r="Y11" s="39" t="str">
        <f>IF(AND('Mapa final'!$AD$46="Muy Alta",'Mapa final'!$AF$46="Moderado"),CONCATENATE("R6C",'Mapa final'!$T$46),"")</f>
        <v/>
      </c>
      <c r="Z11" s="39" t="str">
        <f>IF(AND('Mapa final'!$AD$47="Muy Alta",'Mapa final'!$AF$47="Moderado"),CONCATENATE("R6C",'Mapa final'!$T$47),"")</f>
        <v/>
      </c>
      <c r="AA11" s="40" t="str">
        <f>IF(AND('Mapa final'!$AD$48="Muy Alta",'Mapa final'!$AF$48="Moderado"),CONCATENATE("R6C",'Mapa final'!$T$48),"")</f>
        <v/>
      </c>
      <c r="AB11" s="38" t="str">
        <f>IF(AND('Mapa final'!$AD$43="Muy Alta",'Mapa final'!$AF$43="Mayor"),CONCATENATE("R6C",'Mapa final'!$T$43),"")</f>
        <v/>
      </c>
      <c r="AC11" s="39" t="str">
        <f>IF(AND('Mapa final'!$AD$44="Muy Alta",'Mapa final'!$AF$44="Mayor"),CONCATENATE("R6C",'Mapa final'!$T$44),"")</f>
        <v/>
      </c>
      <c r="AD11" s="39" t="str">
        <f>IF(AND('Mapa final'!$AD$45="Muy Alta",'Mapa final'!$AF$45="Mayor"),CONCATENATE("R6C",'Mapa final'!$T$45),"")</f>
        <v/>
      </c>
      <c r="AE11" s="39" t="str">
        <f>IF(AND('Mapa final'!$AD$46="Muy Alta",'Mapa final'!$AF$46="Mayor"),CONCATENATE("R6C",'Mapa final'!$T$46),"")</f>
        <v/>
      </c>
      <c r="AF11" s="39" t="str">
        <f>IF(AND('Mapa final'!$AD$47="Muy Alta",'Mapa final'!$AF$47="Mayor"),CONCATENATE("R6C",'Mapa final'!$T$47),"")</f>
        <v/>
      </c>
      <c r="AG11" s="40" t="str">
        <f>IF(AND('Mapa final'!$AD$48="Muy Alta",'Mapa final'!$AF$48="Mayor"),CONCATENATE("R6C",'Mapa final'!$T$48),"")</f>
        <v/>
      </c>
      <c r="AH11" s="41" t="str">
        <f>IF(AND('Mapa final'!$AD$43="Muy Alta",'Mapa final'!$AF$43="Catastrófico"),CONCATENATE("R6C",'Mapa final'!$T$43),"")</f>
        <v/>
      </c>
      <c r="AI11" s="42" t="str">
        <f>IF(AND('Mapa final'!$AD$44="Muy Alta",'Mapa final'!$AF$44="Catastrófico"),CONCATENATE("R6C",'Mapa final'!$T$44),"")</f>
        <v/>
      </c>
      <c r="AJ11" s="42" t="str">
        <f>IF(AND('Mapa final'!$AD$45="Muy Alta",'Mapa final'!$AF$45="Catastrófico"),CONCATENATE("R6C",'Mapa final'!$T$45),"")</f>
        <v/>
      </c>
      <c r="AK11" s="42" t="str">
        <f>IF(AND('Mapa final'!$AD$46="Muy Alta",'Mapa final'!$AF$46="Catastrófico"),CONCATENATE("R6C",'Mapa final'!$T$46),"")</f>
        <v/>
      </c>
      <c r="AL11" s="42" t="str">
        <f>IF(AND('Mapa final'!$AD$47="Muy Alta",'Mapa final'!$AF$47="Catastrófico"),CONCATENATE("R6C",'Mapa final'!$T$47),"")</f>
        <v/>
      </c>
      <c r="AM11" s="43" t="str">
        <f>IF(AND('Mapa final'!$AD$48="Muy Alta",'Mapa final'!$AF$48="Catastrófico"),CONCATENATE("R6C",'Mapa final'!$T$48),"")</f>
        <v/>
      </c>
      <c r="AN11" s="69"/>
      <c r="AO11" s="504"/>
      <c r="AP11" s="505"/>
      <c r="AQ11" s="505"/>
      <c r="AR11" s="505"/>
      <c r="AS11" s="505"/>
      <c r="AT11" s="506"/>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399"/>
      <c r="C12" s="399"/>
      <c r="D12" s="400"/>
      <c r="E12" s="498"/>
      <c r="F12" s="497"/>
      <c r="G12" s="497"/>
      <c r="H12" s="497"/>
      <c r="I12" s="513"/>
      <c r="J12" s="38" t="str">
        <f>IF(AND('Mapa final'!$AD$49="Muy Alta",'Mapa final'!$AF$49="Leve"),CONCATENATE("R7C",'Mapa final'!$T$49),"")</f>
        <v/>
      </c>
      <c r="K12" s="39" t="str">
        <f>IF(AND('Mapa final'!$AD$50="Muy Alta",'Mapa final'!$AF$50="Leve"),CONCATENATE("R7C",'Mapa final'!$T$50),"")</f>
        <v/>
      </c>
      <c r="L12" s="39" t="str">
        <f>IF(AND('Mapa final'!$AD$51="Muy Alta",'Mapa final'!$AF$51="Leve"),CONCATENATE("R7C",'Mapa final'!$T$51),"")</f>
        <v/>
      </c>
      <c r="M12" s="39" t="str">
        <f>IF(AND('Mapa final'!$AD$52="Muy Alta",'Mapa final'!$AF$52="Leve"),CONCATENATE("R7C",'Mapa final'!$T$52),"")</f>
        <v/>
      </c>
      <c r="N12" s="39" t="str">
        <f>IF(AND('Mapa final'!$AD$53="Muy Alta",'Mapa final'!$AF$53="Leve"),CONCATENATE("R7C",'Mapa final'!$T$53),"")</f>
        <v/>
      </c>
      <c r="O12" s="40" t="str">
        <f>IF(AND('Mapa final'!$AD$54="Muy Alta",'Mapa final'!$AF$54="Leve"),CONCATENATE("R7C",'Mapa final'!$T$54),"")</f>
        <v/>
      </c>
      <c r="P12" s="38" t="str">
        <f>IF(AND('Mapa final'!$AD$49="Muy Alta",'Mapa final'!$AF$49="Menor"),CONCATENATE("R7C",'Mapa final'!$T$49),"")</f>
        <v/>
      </c>
      <c r="Q12" s="39" t="str">
        <f>IF(AND('Mapa final'!$AD$50="Muy Alta",'Mapa final'!$AF$50="Menor"),CONCATENATE("R7C",'Mapa final'!$T$50),"")</f>
        <v/>
      </c>
      <c r="R12" s="39" t="str">
        <f>IF(AND('Mapa final'!$AD$51="Muy Alta",'Mapa final'!$AF$51="Menor"),CONCATENATE("R7C",'Mapa final'!$T$51),"")</f>
        <v/>
      </c>
      <c r="S12" s="39" t="str">
        <f>IF(AND('Mapa final'!$AD$52="Muy Alta",'Mapa final'!$AF$52="Menor"),CONCATENATE("R7C",'Mapa final'!$T$52),"")</f>
        <v/>
      </c>
      <c r="T12" s="39" t="str">
        <f>IF(AND('Mapa final'!$AD$53="Muy Alta",'Mapa final'!$AF$53="Menor"),CONCATENATE("R7C",'Mapa final'!$T$53),"")</f>
        <v/>
      </c>
      <c r="U12" s="40" t="str">
        <f>IF(AND('Mapa final'!$AD$54="Muy Alta",'Mapa final'!$AF$54="Menor"),CONCATENATE("R7C",'Mapa final'!$T$54),"")</f>
        <v/>
      </c>
      <c r="V12" s="38" t="str">
        <f>IF(AND('Mapa final'!$AD$49="Muy Alta",'Mapa final'!$AF$49="Moderado"),CONCATENATE("R7C",'Mapa final'!$T$49),"")</f>
        <v/>
      </c>
      <c r="W12" s="39" t="str">
        <f>IF(AND('Mapa final'!$AD$50="Muy Alta",'Mapa final'!$AF$50="Moderado"),CONCATENATE("R7C",'Mapa final'!$T$50),"")</f>
        <v/>
      </c>
      <c r="X12" s="39" t="str">
        <f>IF(AND('Mapa final'!$AD$51="Muy Alta",'Mapa final'!$AF$51="Moderado"),CONCATENATE("R7C",'Mapa final'!$T$51),"")</f>
        <v/>
      </c>
      <c r="Y12" s="39" t="str">
        <f>IF(AND('Mapa final'!$AD$52="Muy Alta",'Mapa final'!$AF$52="Moderado"),CONCATENATE("R7C",'Mapa final'!$T$52),"")</f>
        <v/>
      </c>
      <c r="Z12" s="39" t="str">
        <f>IF(AND('Mapa final'!$AD$53="Muy Alta",'Mapa final'!$AF$53="Moderado"),CONCATENATE("R7C",'Mapa final'!$T$53),"")</f>
        <v/>
      </c>
      <c r="AA12" s="40" t="str">
        <f>IF(AND('Mapa final'!$AD$54="Muy Alta",'Mapa final'!$AF$54="Moderado"),CONCATENATE("R7C",'Mapa final'!$T$54),"")</f>
        <v/>
      </c>
      <c r="AB12" s="38" t="str">
        <f>IF(AND('Mapa final'!$AD$49="Muy Alta",'Mapa final'!$AF$49="Mayor"),CONCATENATE("R7C",'Mapa final'!$T$49),"")</f>
        <v/>
      </c>
      <c r="AC12" s="39" t="str">
        <f>IF(AND('Mapa final'!$AD$50="Muy Alta",'Mapa final'!$AF$50="Mayor"),CONCATENATE("R7C",'Mapa final'!$T$50),"")</f>
        <v/>
      </c>
      <c r="AD12" s="39" t="str">
        <f>IF(AND('Mapa final'!$AD$51="Muy Alta",'Mapa final'!$AF$51="Mayor"),CONCATENATE("R7C",'Mapa final'!$T$51),"")</f>
        <v/>
      </c>
      <c r="AE12" s="39" t="str">
        <f>IF(AND('Mapa final'!$AD$52="Muy Alta",'Mapa final'!$AF$52="Mayor"),CONCATENATE("R7C",'Mapa final'!$T$52),"")</f>
        <v/>
      </c>
      <c r="AF12" s="39" t="str">
        <f>IF(AND('Mapa final'!$AD$53="Muy Alta",'Mapa final'!$AF$53="Mayor"),CONCATENATE("R7C",'Mapa final'!$T$53),"")</f>
        <v/>
      </c>
      <c r="AG12" s="40" t="str">
        <f>IF(AND('Mapa final'!$AD$54="Muy Alta",'Mapa final'!$AF$54="Mayor"),CONCATENATE("R7C",'Mapa final'!$T$54),"")</f>
        <v/>
      </c>
      <c r="AH12" s="41" t="str">
        <f>IF(AND('Mapa final'!$AD$49="Muy Alta",'Mapa final'!$AF$49="Catastrófico"),CONCATENATE("R7C",'Mapa final'!$T$49),"")</f>
        <v/>
      </c>
      <c r="AI12" s="42" t="str">
        <f>IF(AND('Mapa final'!$AD$50="Muy Alta",'Mapa final'!$AF$50="Catastrófico"),CONCATENATE("R7C",'Mapa final'!$T$50),"")</f>
        <v/>
      </c>
      <c r="AJ12" s="42" t="str">
        <f>IF(AND('Mapa final'!$AD$51="Muy Alta",'Mapa final'!$AF$51="Catastrófico"),CONCATENATE("R7C",'Mapa final'!$T$51),"")</f>
        <v/>
      </c>
      <c r="AK12" s="42" t="str">
        <f>IF(AND('Mapa final'!$AD$52="Muy Alta",'Mapa final'!$AF$52="Catastrófico"),CONCATENATE("R7C",'Mapa final'!$T$52),"")</f>
        <v/>
      </c>
      <c r="AL12" s="42" t="str">
        <f>IF(AND('Mapa final'!$AD$53="Muy Alta",'Mapa final'!$AF$53="Catastrófico"),CONCATENATE("R7C",'Mapa final'!$T$53),"")</f>
        <v/>
      </c>
      <c r="AM12" s="43" t="str">
        <f>IF(AND('Mapa final'!$AD$54="Muy Alta",'Mapa final'!$AF$54="Catastrófico"),CONCATENATE("R7C",'Mapa final'!$T$54),"")</f>
        <v/>
      </c>
      <c r="AN12" s="69"/>
      <c r="AO12" s="504"/>
      <c r="AP12" s="505"/>
      <c r="AQ12" s="505"/>
      <c r="AR12" s="505"/>
      <c r="AS12" s="505"/>
      <c r="AT12" s="506"/>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399"/>
      <c r="C13" s="399"/>
      <c r="D13" s="400"/>
      <c r="E13" s="498"/>
      <c r="F13" s="497"/>
      <c r="G13" s="497"/>
      <c r="H13" s="497"/>
      <c r="I13" s="513"/>
      <c r="J13" s="38" t="str">
        <f>IF(AND('Mapa final'!$AD$55="Muy Alta",'Mapa final'!$AF$55="Leve"),CONCATENATE("R8C",'Mapa final'!$T$55),"")</f>
        <v/>
      </c>
      <c r="K13" s="39" t="str">
        <f>IF(AND('Mapa final'!$AD$56="Muy Alta",'Mapa final'!$AF$56="Leve"),CONCATENATE("R8C",'Mapa final'!$T$56),"")</f>
        <v/>
      </c>
      <c r="L13" s="39" t="str">
        <f>IF(AND('Mapa final'!$AD$57="Muy Alta",'Mapa final'!$AF$57="Leve"),CONCATENATE("R8C",'Mapa final'!$T$57),"")</f>
        <v/>
      </c>
      <c r="M13" s="39" t="str">
        <f>IF(AND('Mapa final'!$AD$58="Muy Alta",'Mapa final'!$AF$58="Leve"),CONCATENATE("R8C",'Mapa final'!$T$58),"")</f>
        <v/>
      </c>
      <c r="N13" s="39" t="str">
        <f>IF(AND('Mapa final'!$AD$59="Muy Alta",'Mapa final'!$AF$59="Leve"),CONCATENATE("R8C",'Mapa final'!$T$59),"")</f>
        <v/>
      </c>
      <c r="O13" s="40" t="str">
        <f>IF(AND('Mapa final'!$AD$60="Muy Alta",'Mapa final'!$AF$60="Leve"),CONCATENATE("R8C",'Mapa final'!$T$60),"")</f>
        <v/>
      </c>
      <c r="P13" s="38" t="str">
        <f>IF(AND('Mapa final'!$AD$55="Muy Alta",'Mapa final'!$AF$55="Menor"),CONCATENATE("R8C",'Mapa final'!$T$55),"")</f>
        <v/>
      </c>
      <c r="Q13" s="39" t="str">
        <f>IF(AND('Mapa final'!$AD$56="Muy Alta",'Mapa final'!$AF$56="Menor"),CONCATENATE("R8C",'Mapa final'!$T$56),"")</f>
        <v/>
      </c>
      <c r="R13" s="39" t="str">
        <f>IF(AND('Mapa final'!$AD$57="Muy Alta",'Mapa final'!$AF$57="Menor"),CONCATENATE("R8C",'Mapa final'!$T$57),"")</f>
        <v/>
      </c>
      <c r="S13" s="39" t="str">
        <f>IF(AND('Mapa final'!$AD$58="Muy Alta",'Mapa final'!$AF$58="Menor"),CONCATENATE("R8C",'Mapa final'!$T$58),"")</f>
        <v/>
      </c>
      <c r="T13" s="39" t="str">
        <f>IF(AND('Mapa final'!$AD$59="Muy Alta",'Mapa final'!$AF$59="Menor"),CONCATENATE("R8C",'Mapa final'!$T$59),"")</f>
        <v/>
      </c>
      <c r="U13" s="40" t="str">
        <f>IF(AND('Mapa final'!$AD$60="Muy Alta",'Mapa final'!$AF$60="Menor"),CONCATENATE("R8C",'Mapa final'!$T$60),"")</f>
        <v/>
      </c>
      <c r="V13" s="38" t="str">
        <f>IF(AND('Mapa final'!$AD$55="Muy Alta",'Mapa final'!$AF$55="Moderado"),CONCATENATE("R8C",'Mapa final'!$T$55),"")</f>
        <v/>
      </c>
      <c r="W13" s="39" t="str">
        <f>IF(AND('Mapa final'!$AD$56="Muy Alta",'Mapa final'!$AF$56="Moderado"),CONCATENATE("R8C",'Mapa final'!$T$56),"")</f>
        <v/>
      </c>
      <c r="X13" s="39" t="str">
        <f>IF(AND('Mapa final'!$AD$57="Muy Alta",'Mapa final'!$AF$57="Moderado"),CONCATENATE("R8C",'Mapa final'!$T$57),"")</f>
        <v/>
      </c>
      <c r="Y13" s="39" t="str">
        <f>IF(AND('Mapa final'!$AD$58="Muy Alta",'Mapa final'!$AF$58="Moderado"),CONCATENATE("R8C",'Mapa final'!$T$58),"")</f>
        <v/>
      </c>
      <c r="Z13" s="39" t="str">
        <f>IF(AND('Mapa final'!$AD$59="Muy Alta",'Mapa final'!$AF$59="Moderado"),CONCATENATE("R8C",'Mapa final'!$T$59),"")</f>
        <v/>
      </c>
      <c r="AA13" s="40" t="str">
        <f>IF(AND('Mapa final'!$AD$60="Muy Alta",'Mapa final'!$AF$60="Moderado"),CONCATENATE("R8C",'Mapa final'!$T$60),"")</f>
        <v/>
      </c>
      <c r="AB13" s="38" t="str">
        <f>IF(AND('Mapa final'!$AD$55="Muy Alta",'Mapa final'!$AF$55="Mayor"),CONCATENATE("R8C",'Mapa final'!$T$55),"")</f>
        <v/>
      </c>
      <c r="AC13" s="39" t="str">
        <f>IF(AND('Mapa final'!$AD$56="Muy Alta",'Mapa final'!$AF$56="Mayor"),CONCATENATE("R8C",'Mapa final'!$T$56),"")</f>
        <v/>
      </c>
      <c r="AD13" s="39" t="str">
        <f>IF(AND('Mapa final'!$AD$57="Muy Alta",'Mapa final'!$AF$57="Mayor"),CONCATENATE("R8C",'Mapa final'!$T$57),"")</f>
        <v/>
      </c>
      <c r="AE13" s="39" t="str">
        <f>IF(AND('Mapa final'!$AD$58="Muy Alta",'Mapa final'!$AF$58="Mayor"),CONCATENATE("R8C",'Mapa final'!$T$58),"")</f>
        <v/>
      </c>
      <c r="AF13" s="39" t="str">
        <f>IF(AND('Mapa final'!$AD$59="Muy Alta",'Mapa final'!$AF$59="Mayor"),CONCATENATE("R8C",'Mapa final'!$T$59),"")</f>
        <v/>
      </c>
      <c r="AG13" s="40" t="str">
        <f>IF(AND('Mapa final'!$AD$60="Muy Alta",'Mapa final'!$AF$60="Mayor"),CONCATENATE("R8C",'Mapa final'!$T$60),"")</f>
        <v/>
      </c>
      <c r="AH13" s="41" t="str">
        <f>IF(AND('Mapa final'!$AD$55="Muy Alta",'Mapa final'!$AF$55="Catastrófico"),CONCATENATE("R8C",'Mapa final'!$T$55),"")</f>
        <v/>
      </c>
      <c r="AI13" s="42" t="str">
        <f>IF(AND('Mapa final'!$AD$56="Muy Alta",'Mapa final'!$AF$56="Catastrófico"),CONCATENATE("R8C",'Mapa final'!$T$56),"")</f>
        <v/>
      </c>
      <c r="AJ13" s="42" t="str">
        <f>IF(AND('Mapa final'!$AD$57="Muy Alta",'Mapa final'!$AF$57="Catastrófico"),CONCATENATE("R8C",'Mapa final'!$T$57),"")</f>
        <v/>
      </c>
      <c r="AK13" s="42" t="str">
        <f>IF(AND('Mapa final'!$AD$58="Muy Alta",'Mapa final'!$AF$58="Catastrófico"),CONCATENATE("R8C",'Mapa final'!$T$58),"")</f>
        <v/>
      </c>
      <c r="AL13" s="42" t="str">
        <f>IF(AND('Mapa final'!$AD$59="Muy Alta",'Mapa final'!$AF$59="Catastrófico"),CONCATENATE("R8C",'Mapa final'!$T$59),"")</f>
        <v/>
      </c>
      <c r="AM13" s="43" t="str">
        <f>IF(AND('Mapa final'!$AD$60="Muy Alta",'Mapa final'!$AF$60="Catastrófico"),CONCATENATE("R8C",'Mapa final'!$T$60),"")</f>
        <v/>
      </c>
      <c r="AN13" s="69"/>
      <c r="AO13" s="504"/>
      <c r="AP13" s="505"/>
      <c r="AQ13" s="505"/>
      <c r="AR13" s="505"/>
      <c r="AS13" s="505"/>
      <c r="AT13" s="506"/>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399"/>
      <c r="C14" s="399"/>
      <c r="D14" s="400"/>
      <c r="E14" s="498"/>
      <c r="F14" s="497"/>
      <c r="G14" s="497"/>
      <c r="H14" s="497"/>
      <c r="I14" s="513"/>
      <c r="J14" s="38" t="str">
        <f>IF(AND('Mapa final'!$AD$61="Muy Alta",'Mapa final'!$AF$61="Leve"),CONCATENATE("R9C",'Mapa final'!$T$61),"")</f>
        <v/>
      </c>
      <c r="K14" s="39" t="str">
        <f>IF(AND('Mapa final'!$AD$62="Muy Alta",'Mapa final'!$AF$62="Leve"),CONCATENATE("R9C",'Mapa final'!$T$62),"")</f>
        <v/>
      </c>
      <c r="L14" s="39" t="str">
        <f>IF(AND('Mapa final'!$AD$63="Muy Alta",'Mapa final'!$AF$63="Leve"),CONCATENATE("R9C",'Mapa final'!$T$63),"")</f>
        <v/>
      </c>
      <c r="M14" s="39" t="str">
        <f>IF(AND('Mapa final'!$AD$64="Muy Alta",'Mapa final'!$AF$64="Leve"),CONCATENATE("R9C",'Mapa final'!$T$64),"")</f>
        <v/>
      </c>
      <c r="N14" s="39" t="str">
        <f>IF(AND('Mapa final'!$AD$65="Muy Alta",'Mapa final'!$AF$65="Leve"),CONCATENATE("R9C",'Mapa final'!$T$65),"")</f>
        <v/>
      </c>
      <c r="O14" s="40" t="str">
        <f>IF(AND('Mapa final'!$AD$66="Muy Alta",'Mapa final'!$AF$66="Leve"),CONCATENATE("R9C",'Mapa final'!$T$66),"")</f>
        <v/>
      </c>
      <c r="P14" s="38" t="str">
        <f>IF(AND('Mapa final'!$AD$61="Muy Alta",'Mapa final'!$AF$61="Menor"),CONCATENATE("R9C",'Mapa final'!$T$61),"")</f>
        <v/>
      </c>
      <c r="Q14" s="39" t="str">
        <f>IF(AND('Mapa final'!$AD$62="Muy Alta",'Mapa final'!$AF$62="Menor"),CONCATENATE("R9C",'Mapa final'!$T$62),"")</f>
        <v/>
      </c>
      <c r="R14" s="39" t="str">
        <f>IF(AND('Mapa final'!$AD$63="Muy Alta",'Mapa final'!$AF$63="Menor"),CONCATENATE("R9C",'Mapa final'!$T$63),"")</f>
        <v/>
      </c>
      <c r="S14" s="39" t="str">
        <f>IF(AND('Mapa final'!$AD$64="Muy Alta",'Mapa final'!$AF$64="Menor"),CONCATENATE("R9C",'Mapa final'!$T$64),"")</f>
        <v/>
      </c>
      <c r="T14" s="39" t="str">
        <f>IF(AND('Mapa final'!$AD$65="Muy Alta",'Mapa final'!$AF$65="Menor"),CONCATENATE("R9C",'Mapa final'!$T$65),"")</f>
        <v/>
      </c>
      <c r="U14" s="40" t="str">
        <f>IF(AND('Mapa final'!$AD$66="Muy Alta",'Mapa final'!$AF$66="Menor"),CONCATENATE("R9C",'Mapa final'!$T$66),"")</f>
        <v/>
      </c>
      <c r="V14" s="38" t="str">
        <f>IF(AND('Mapa final'!$AD$61="Muy Alta",'Mapa final'!$AF$61="Moderado"),CONCATENATE("R9C",'Mapa final'!$T$61),"")</f>
        <v/>
      </c>
      <c r="W14" s="39" t="str">
        <f>IF(AND('Mapa final'!$AD$62="Muy Alta",'Mapa final'!$AF$62="Moderado"),CONCATENATE("R9C",'Mapa final'!$T$62),"")</f>
        <v/>
      </c>
      <c r="X14" s="39" t="str">
        <f>IF(AND('Mapa final'!$AD$63="Muy Alta",'Mapa final'!$AF$63="Moderado"),CONCATENATE("R9C",'Mapa final'!$T$63),"")</f>
        <v/>
      </c>
      <c r="Y14" s="39" t="str">
        <f>IF(AND('Mapa final'!$AD$64="Muy Alta",'Mapa final'!$AF$64="Moderado"),CONCATENATE("R9C",'Mapa final'!$T$64),"")</f>
        <v/>
      </c>
      <c r="Z14" s="39" t="str">
        <f>IF(AND('Mapa final'!$AD$65="Muy Alta",'Mapa final'!$AF$65="Moderado"),CONCATENATE("R9C",'Mapa final'!$T$65),"")</f>
        <v/>
      </c>
      <c r="AA14" s="40" t="str">
        <f>IF(AND('Mapa final'!$AD$66="Muy Alta",'Mapa final'!$AF$66="Moderado"),CONCATENATE("R9C",'Mapa final'!$T$66),"")</f>
        <v/>
      </c>
      <c r="AB14" s="38" t="str">
        <f>IF(AND('Mapa final'!$AD$61="Muy Alta",'Mapa final'!$AF$61="Mayor"),CONCATENATE("R9C",'Mapa final'!$T$61),"")</f>
        <v/>
      </c>
      <c r="AC14" s="39" t="str">
        <f>IF(AND('Mapa final'!$AD$62="Muy Alta",'Mapa final'!$AF$62="Mayor"),CONCATENATE("R9C",'Mapa final'!$T$62),"")</f>
        <v/>
      </c>
      <c r="AD14" s="39" t="str">
        <f>IF(AND('Mapa final'!$AD$63="Muy Alta",'Mapa final'!$AF$63="Mayor"),CONCATENATE("R9C",'Mapa final'!$T$63),"")</f>
        <v/>
      </c>
      <c r="AE14" s="39" t="str">
        <f>IF(AND('Mapa final'!$AD$64="Muy Alta",'Mapa final'!$AF$64="Mayor"),CONCATENATE("R9C",'Mapa final'!$T$64),"")</f>
        <v/>
      </c>
      <c r="AF14" s="39" t="str">
        <f>IF(AND('Mapa final'!$AD$65="Muy Alta",'Mapa final'!$AF$65="Mayor"),CONCATENATE("R9C",'Mapa final'!$T$65),"")</f>
        <v/>
      </c>
      <c r="AG14" s="40" t="str">
        <f>IF(AND('Mapa final'!$AD$66="Muy Alta",'Mapa final'!$AF$66="Mayor"),CONCATENATE("R9C",'Mapa final'!$T$66),"")</f>
        <v/>
      </c>
      <c r="AH14" s="41" t="str">
        <f>IF(AND('Mapa final'!$AD$61="Muy Alta",'Mapa final'!$AF$61="Catastrófico"),CONCATENATE("R9C",'Mapa final'!$T$61),"")</f>
        <v/>
      </c>
      <c r="AI14" s="42" t="str">
        <f>IF(AND('Mapa final'!$AD$62="Muy Alta",'Mapa final'!$AF$62="Catastrófico"),CONCATENATE("R9C",'Mapa final'!$T$62),"")</f>
        <v/>
      </c>
      <c r="AJ14" s="42" t="str">
        <f>IF(AND('Mapa final'!$AD$63="Muy Alta",'Mapa final'!$AF$63="Catastrófico"),CONCATENATE("R9C",'Mapa final'!$T$63),"")</f>
        <v/>
      </c>
      <c r="AK14" s="42" t="str">
        <f>IF(AND('Mapa final'!$AD$64="Muy Alta",'Mapa final'!$AF$64="Catastrófico"),CONCATENATE("R9C",'Mapa final'!$T$64),"")</f>
        <v/>
      </c>
      <c r="AL14" s="42" t="str">
        <f>IF(AND('Mapa final'!$AD$65="Muy Alta",'Mapa final'!$AF$65="Catastrófico"),CONCATENATE("R9C",'Mapa final'!$T$65),"")</f>
        <v/>
      </c>
      <c r="AM14" s="43" t="str">
        <f>IF(AND('Mapa final'!$AD$66="Muy Alta",'Mapa final'!$AF$66="Catastrófico"),CONCATENATE("R9C",'Mapa final'!$T$66),"")</f>
        <v/>
      </c>
      <c r="AN14" s="69"/>
      <c r="AO14" s="504"/>
      <c r="AP14" s="505"/>
      <c r="AQ14" s="505"/>
      <c r="AR14" s="505"/>
      <c r="AS14" s="505"/>
      <c r="AT14" s="506"/>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399"/>
      <c r="C15" s="399"/>
      <c r="D15" s="400"/>
      <c r="E15" s="499"/>
      <c r="F15" s="500"/>
      <c r="G15" s="500"/>
      <c r="H15" s="500"/>
      <c r="I15" s="514"/>
      <c r="J15" s="44" t="str">
        <f>IF(AND('Mapa final'!$AD$67="Muy Alta",'Mapa final'!$AF$67="Leve"),CONCATENATE("R10C",'Mapa final'!$T$67),"")</f>
        <v/>
      </c>
      <c r="K15" s="45" t="str">
        <f>IF(AND('Mapa final'!$AD$68="Muy Alta",'Mapa final'!$AF$68="Leve"),CONCATENATE("R10C",'Mapa final'!$T$68),"")</f>
        <v/>
      </c>
      <c r="L15" s="45" t="str">
        <f>IF(AND('Mapa final'!$AD$69="Muy Alta",'Mapa final'!$AF$69="Leve"),CONCATENATE("R10C",'Mapa final'!$T$69),"")</f>
        <v/>
      </c>
      <c r="M15" s="45" t="str">
        <f>IF(AND('Mapa final'!$AD$70="Muy Alta",'Mapa final'!$AF$70="Leve"),CONCATENATE("R10C",'Mapa final'!$T$70),"")</f>
        <v/>
      </c>
      <c r="N15" s="45" t="str">
        <f>IF(AND('Mapa final'!$AD$71="Muy Alta",'Mapa final'!$AF$71="Leve"),CONCATENATE("R10C",'Mapa final'!$T$71),"")</f>
        <v/>
      </c>
      <c r="O15" s="46" t="str">
        <f>IF(AND('Mapa final'!$AD$72="Muy Alta",'Mapa final'!$AF$72="Leve"),CONCATENATE("R10C",'Mapa final'!$T$72),"")</f>
        <v/>
      </c>
      <c r="P15" s="38" t="str">
        <f>IF(AND('Mapa final'!$AD$67="Muy Alta",'Mapa final'!$AF$67="Menor"),CONCATENATE("R10C",'Mapa final'!$T$67),"")</f>
        <v/>
      </c>
      <c r="Q15" s="39" t="str">
        <f>IF(AND('Mapa final'!$AD$68="Muy Alta",'Mapa final'!$AF$68="Menor"),CONCATENATE("R10C",'Mapa final'!$T$68),"")</f>
        <v/>
      </c>
      <c r="R15" s="39" t="str">
        <f>IF(AND('Mapa final'!$AD$69="Muy Alta",'Mapa final'!$AF$69="Menor"),CONCATENATE("R10C",'Mapa final'!$T$69),"")</f>
        <v/>
      </c>
      <c r="S15" s="39" t="str">
        <f>IF(AND('Mapa final'!$AD$70="Muy Alta",'Mapa final'!$AF$70="Menor"),CONCATENATE("R10C",'Mapa final'!$T$70),"")</f>
        <v/>
      </c>
      <c r="T15" s="39" t="str">
        <f>IF(AND('Mapa final'!$AD$71="Muy Alta",'Mapa final'!$AF$71="Menor"),CONCATENATE("R10C",'Mapa final'!$T$71),"")</f>
        <v/>
      </c>
      <c r="U15" s="40" t="str">
        <f>IF(AND('Mapa final'!$AD$72="Muy Alta",'Mapa final'!$AF$72="Menor"),CONCATENATE("R10C",'Mapa final'!$T$72),"")</f>
        <v/>
      </c>
      <c r="V15" s="44" t="str">
        <f>IF(AND('Mapa final'!$AD$67="Muy Alta",'Mapa final'!$AF$67="Moderado"),CONCATENATE("R10C",'Mapa final'!$T$67),"")</f>
        <v/>
      </c>
      <c r="W15" s="45" t="str">
        <f>IF(AND('Mapa final'!$AD$68="Muy Alta",'Mapa final'!$AF$68="Moderado"),CONCATENATE("R10C",'Mapa final'!$T$68),"")</f>
        <v/>
      </c>
      <c r="X15" s="45" t="str">
        <f>IF(AND('Mapa final'!$AD$69="Muy Alta",'Mapa final'!$AF$69="Moderado"),CONCATENATE("R10C",'Mapa final'!$T$69),"")</f>
        <v/>
      </c>
      <c r="Y15" s="45" t="str">
        <f>IF(AND('Mapa final'!$AD$70="Muy Alta",'Mapa final'!$AF$70="Moderado"),CONCATENATE("R10C",'Mapa final'!$T$70),"")</f>
        <v/>
      </c>
      <c r="Z15" s="45" t="str">
        <f>IF(AND('Mapa final'!$AD$71="Muy Alta",'Mapa final'!$AF$71="Moderado"),CONCATENATE("R10C",'Mapa final'!$T$71),"")</f>
        <v/>
      </c>
      <c r="AA15" s="46" t="str">
        <f>IF(AND('Mapa final'!$AD$72="Muy Alta",'Mapa final'!$AF$72="Moderado"),CONCATENATE("R10C",'Mapa final'!$T$72),"")</f>
        <v/>
      </c>
      <c r="AB15" s="38" t="str">
        <f>IF(AND('Mapa final'!$AD$67="Muy Alta",'Mapa final'!$AF$67="Mayor"),CONCATENATE("R10C",'Mapa final'!$T$67),"")</f>
        <v/>
      </c>
      <c r="AC15" s="39" t="str">
        <f>IF(AND('Mapa final'!$AD$68="Muy Alta",'Mapa final'!$AF$68="Mayor"),CONCATENATE("R10C",'Mapa final'!$T$68),"")</f>
        <v/>
      </c>
      <c r="AD15" s="39" t="str">
        <f>IF(AND('Mapa final'!$AD$69="Muy Alta",'Mapa final'!$AF$69="Mayor"),CONCATENATE("R10C",'Mapa final'!$T$69),"")</f>
        <v/>
      </c>
      <c r="AE15" s="39" t="str">
        <f>IF(AND('Mapa final'!$AD$70="Muy Alta",'Mapa final'!$AF$70="Mayor"),CONCATENATE("R10C",'Mapa final'!$T$70),"")</f>
        <v/>
      </c>
      <c r="AF15" s="39" t="str">
        <f>IF(AND('Mapa final'!$AD$71="Muy Alta",'Mapa final'!$AF$71="Mayor"),CONCATENATE("R10C",'Mapa final'!$T$71),"")</f>
        <v/>
      </c>
      <c r="AG15" s="40" t="str">
        <f>IF(AND('Mapa final'!$AD$72="Muy Alta",'Mapa final'!$AF$72="Mayor"),CONCATENATE("R10C",'Mapa final'!$T$72),"")</f>
        <v/>
      </c>
      <c r="AH15" s="47" t="str">
        <f>IF(AND('Mapa final'!$AD$67="Muy Alta",'Mapa final'!$AF$67="Catastrófico"),CONCATENATE("R10C",'Mapa final'!$T$67),"")</f>
        <v/>
      </c>
      <c r="AI15" s="48" t="str">
        <f>IF(AND('Mapa final'!$AD$68="Muy Alta",'Mapa final'!$AF$68="Catastrófico"),CONCATENATE("R10C",'Mapa final'!$T$68),"")</f>
        <v/>
      </c>
      <c r="AJ15" s="48" t="str">
        <f>IF(AND('Mapa final'!$AD$69="Muy Alta",'Mapa final'!$AF$69="Catastrófico"),CONCATENATE("R10C",'Mapa final'!$T$69),"")</f>
        <v/>
      </c>
      <c r="AK15" s="48" t="str">
        <f>IF(AND('Mapa final'!$AD$70="Muy Alta",'Mapa final'!$AF$70="Catastrófico"),CONCATENATE("R10C",'Mapa final'!$T$70),"")</f>
        <v/>
      </c>
      <c r="AL15" s="48" t="str">
        <f>IF(AND('Mapa final'!$AD$71="Muy Alta",'Mapa final'!$AF$71="Catastrófico"),CONCATENATE("R10C",'Mapa final'!$T$71),"")</f>
        <v/>
      </c>
      <c r="AM15" s="49" t="str">
        <f>IF(AND('Mapa final'!$AD$72="Muy Alta",'Mapa final'!$AF$72="Catastrófico"),CONCATENATE("R10C",'Mapa final'!$T$72),"")</f>
        <v/>
      </c>
      <c r="AN15" s="69"/>
      <c r="AO15" s="507"/>
      <c r="AP15" s="508"/>
      <c r="AQ15" s="508"/>
      <c r="AR15" s="508"/>
      <c r="AS15" s="508"/>
      <c r="AT15" s="50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399"/>
      <c r="C16" s="399"/>
      <c r="D16" s="400"/>
      <c r="E16" s="494" t="s">
        <v>115</v>
      </c>
      <c r="F16" s="495"/>
      <c r="G16" s="495"/>
      <c r="H16" s="495"/>
      <c r="I16" s="495"/>
      <c r="J16" s="50" t="str">
        <f>IF(AND('Mapa final'!$AD$13="Alta",'Mapa final'!$AF$13="Leve"),CONCATENATE("R1C",'Mapa final'!$T$13),"")</f>
        <v/>
      </c>
      <c r="K16" s="51" t="str">
        <f>IF(AND('Mapa final'!$AD$14="Alta",'Mapa final'!$AF$14="Leve"),CONCATENATE("R1C",'Mapa final'!$T$14),"")</f>
        <v/>
      </c>
      <c r="L16" s="51" t="str">
        <f>IF(AND('Mapa final'!$AD$15="Alta",'Mapa final'!$AF$15="Leve"),CONCATENATE("R1C",'Mapa final'!$T$15),"")</f>
        <v/>
      </c>
      <c r="M16" s="51" t="str">
        <f>IF(AND('Mapa final'!$AD$16="Alta",'Mapa final'!$AF$16="Leve"),CONCATENATE("R1C",'Mapa final'!$T$16),"")</f>
        <v/>
      </c>
      <c r="N16" s="51" t="str">
        <f>IF(AND('Mapa final'!$AD$17="Alta",'Mapa final'!$AF$17="Leve"),CONCATENATE("R1C",'Mapa final'!$T$17),"")</f>
        <v/>
      </c>
      <c r="O16" s="52" t="str">
        <f>IF(AND('Mapa final'!$AD$18="Alta",'Mapa final'!$AF$18="Leve"),CONCATENATE("R1C",'Mapa final'!$T$18),"")</f>
        <v/>
      </c>
      <c r="P16" s="50" t="str">
        <f>IF(AND('Mapa final'!$AD$13="Alta",'Mapa final'!$AF$13="Menor"),CONCATENATE("R1C",'Mapa final'!$T$13),"")</f>
        <v/>
      </c>
      <c r="Q16" s="51" t="str">
        <f>IF(AND('Mapa final'!$AD$14="Alta",'Mapa final'!$AF$14="Menor"),CONCATENATE("R1C",'Mapa final'!$T$14),"")</f>
        <v/>
      </c>
      <c r="R16" s="51" t="str">
        <f>IF(AND('Mapa final'!$AD$15="Alta",'Mapa final'!$AF$15="Menor"),CONCATENATE("R1C",'Mapa final'!$T$15),"")</f>
        <v/>
      </c>
      <c r="S16" s="51" t="str">
        <f>IF(AND('Mapa final'!$AD$16="Alta",'Mapa final'!$AF$16="Menor"),CONCATENATE("R1C",'Mapa final'!$T$16),"")</f>
        <v/>
      </c>
      <c r="T16" s="51" t="str">
        <f>IF(AND('Mapa final'!$AD$17="Alta",'Mapa final'!$AF$17="Menor"),CONCATENATE("R1C",'Mapa final'!$T$17),"")</f>
        <v/>
      </c>
      <c r="U16" s="52" t="str">
        <f>IF(AND('Mapa final'!$AD$18="Alta",'Mapa final'!$AF$18="Menor"),CONCATENATE("R1C",'Mapa final'!$T$18),"")</f>
        <v/>
      </c>
      <c r="V16" s="32" t="str">
        <f>IF(AND('Mapa final'!$AD$13="Alta",'Mapa final'!$AF$13="Moderado"),CONCATENATE("R1C",'Mapa final'!$T$13),"")</f>
        <v/>
      </c>
      <c r="W16" s="33" t="str">
        <f>IF(AND('Mapa final'!$AD$14="Alta",'Mapa final'!$AF$14="Moderado"),CONCATENATE("R1C",'Mapa final'!$T$14),"")</f>
        <v/>
      </c>
      <c r="X16" s="33" t="str">
        <f>IF(AND('Mapa final'!$AD$15="Alta",'Mapa final'!$AF$15="Moderado"),CONCATENATE("R1C",'Mapa final'!$T$15),"")</f>
        <v/>
      </c>
      <c r="Y16" s="33" t="str">
        <f>IF(AND('Mapa final'!$AD$16="Alta",'Mapa final'!$AF$16="Moderado"),CONCATENATE("R1C",'Mapa final'!$T$16),"")</f>
        <v/>
      </c>
      <c r="Z16" s="33" t="str">
        <f>IF(AND('Mapa final'!$AD$17="Alta",'Mapa final'!$AF$17="Moderado"),CONCATENATE("R1C",'Mapa final'!$T$17),"")</f>
        <v/>
      </c>
      <c r="AA16" s="34" t="str">
        <f>IF(AND('Mapa final'!$AD$18="Alta",'Mapa final'!$AF$18="Moderado"),CONCATENATE("R1C",'Mapa final'!$T$18),"")</f>
        <v/>
      </c>
      <c r="AB16" s="32" t="str">
        <f>IF(AND('Mapa final'!$AD$13="Alta",'Mapa final'!$AF$13="Mayor"),CONCATENATE("R1C",'Mapa final'!$T$13),"")</f>
        <v/>
      </c>
      <c r="AC16" s="33" t="str">
        <f>IF(AND('Mapa final'!$AD$14="Alta",'Mapa final'!$AF$14="Mayor"),CONCATENATE("R1C",'Mapa final'!$T$14),"")</f>
        <v/>
      </c>
      <c r="AD16" s="33" t="str">
        <f>IF(AND('Mapa final'!$AD$15="Alta",'Mapa final'!$AF$15="Mayor"),CONCATENATE("R1C",'Mapa final'!$T$15),"")</f>
        <v/>
      </c>
      <c r="AE16" s="33" t="str">
        <f>IF(AND('Mapa final'!$AD$16="Alta",'Mapa final'!$AF$16="Mayor"),CONCATENATE("R1C",'Mapa final'!$T$16),"")</f>
        <v/>
      </c>
      <c r="AF16" s="33" t="str">
        <f>IF(AND('Mapa final'!$AD$17="Alta",'Mapa final'!$AF$17="Mayor"),CONCATENATE("R1C",'Mapa final'!$T$17),"")</f>
        <v/>
      </c>
      <c r="AG16" s="34" t="str">
        <f>IF(AND('Mapa final'!$AD$18="Alta",'Mapa final'!$AF$18="Mayor"),CONCATENATE("R1C",'Mapa final'!$T$18),"")</f>
        <v/>
      </c>
      <c r="AH16" s="35" t="str">
        <f>IF(AND('Mapa final'!$AD$13="Alta",'Mapa final'!$AF$13="Catastrófico"),CONCATENATE("R1C",'Mapa final'!$T$13),"")</f>
        <v/>
      </c>
      <c r="AI16" s="36" t="str">
        <f>IF(AND('Mapa final'!$AD$14="Alta",'Mapa final'!$AF$14="Catastrófico"),CONCATENATE("R1C",'Mapa final'!$T$14),"")</f>
        <v/>
      </c>
      <c r="AJ16" s="36" t="str">
        <f>IF(AND('Mapa final'!$AD$15="Alta",'Mapa final'!$AF$15="Catastrófico"),CONCATENATE("R1C",'Mapa final'!$T$15),"")</f>
        <v/>
      </c>
      <c r="AK16" s="36" t="str">
        <f>IF(AND('Mapa final'!$AD$16="Alta",'Mapa final'!$AF$16="Catastrófico"),CONCATENATE("R1C",'Mapa final'!$T$16),"")</f>
        <v/>
      </c>
      <c r="AL16" s="36" t="str">
        <f>IF(AND('Mapa final'!$AD$17="Alta",'Mapa final'!$AF$17="Catastrófico"),CONCATENATE("R1C",'Mapa final'!$T$17),"")</f>
        <v/>
      </c>
      <c r="AM16" s="37" t="str">
        <f>IF(AND('Mapa final'!$AD$18="Alta",'Mapa final'!$AF$18="Catastrófico"),CONCATENATE("R1C",'Mapa final'!$T$18),"")</f>
        <v/>
      </c>
      <c r="AN16" s="69"/>
      <c r="AO16" s="485" t="s">
        <v>80</v>
      </c>
      <c r="AP16" s="486"/>
      <c r="AQ16" s="486"/>
      <c r="AR16" s="486"/>
      <c r="AS16" s="486"/>
      <c r="AT16" s="487"/>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399"/>
      <c r="C17" s="399"/>
      <c r="D17" s="400"/>
      <c r="E17" s="496"/>
      <c r="F17" s="497"/>
      <c r="G17" s="497"/>
      <c r="H17" s="497"/>
      <c r="I17" s="497"/>
      <c r="J17" s="53" t="str">
        <f>IF(AND('Mapa final'!$AD$19="Alta",'Mapa final'!$AF$19="Leve"),CONCATENATE("R2C",'Mapa final'!$T$19),"")</f>
        <v/>
      </c>
      <c r="K17" s="54" t="str">
        <f>IF(AND('Mapa final'!$AD$20="Alta",'Mapa final'!$AF$20="Leve"),CONCATENATE("R2C",'Mapa final'!$T$20),"")</f>
        <v/>
      </c>
      <c r="L17" s="54" t="str">
        <f>IF(AND('Mapa final'!$AD$21="Alta",'Mapa final'!$AF$21="Leve"),CONCATENATE("R2C",'Mapa final'!$T$21),"")</f>
        <v/>
      </c>
      <c r="M17" s="54" t="str">
        <f>IF(AND('Mapa final'!$AD$22="Alta",'Mapa final'!$AF$22="Leve"),CONCATENATE("R2C",'Mapa final'!$T$22),"")</f>
        <v/>
      </c>
      <c r="N17" s="54" t="str">
        <f>IF(AND('Mapa final'!$AD$23="Alta",'Mapa final'!$AF$23="Leve"),CONCATENATE("R2C",'Mapa final'!$T$23),"")</f>
        <v/>
      </c>
      <c r="O17" s="55" t="str">
        <f>IF(AND('Mapa final'!$AD$24="Alta",'Mapa final'!$AF$24="Leve"),CONCATENATE("R2C",'Mapa final'!$T$24),"")</f>
        <v/>
      </c>
      <c r="P17" s="53" t="str">
        <f>IF(AND('Mapa final'!$AD$19="Alta",'Mapa final'!$AF$19="Menor"),CONCATENATE("R2C",'Mapa final'!$T$19),"")</f>
        <v/>
      </c>
      <c r="Q17" s="54" t="str">
        <f>IF(AND('Mapa final'!$AD$20="Alta",'Mapa final'!$AF$20="Menor"),CONCATENATE("R2C",'Mapa final'!$T$20),"")</f>
        <v/>
      </c>
      <c r="R17" s="54" t="str">
        <f>IF(AND('Mapa final'!$AD$21="Alta",'Mapa final'!$AF$21="Menor"),CONCATENATE("R2C",'Mapa final'!$T$21),"")</f>
        <v/>
      </c>
      <c r="S17" s="54" t="str">
        <f>IF(AND('Mapa final'!$AD$22="Alta",'Mapa final'!$AF$22="Menor"),CONCATENATE("R2C",'Mapa final'!$T$22),"")</f>
        <v/>
      </c>
      <c r="T17" s="54" t="str">
        <f>IF(AND('Mapa final'!$AD$23="Alta",'Mapa final'!$AF$23="Menor"),CONCATENATE("R2C",'Mapa final'!$T$23),"")</f>
        <v/>
      </c>
      <c r="U17" s="55" t="str">
        <f>IF(AND('Mapa final'!$AD$24="Alta",'Mapa final'!$AF$24="Menor"),CONCATENATE("R2C",'Mapa final'!$T$24),"")</f>
        <v/>
      </c>
      <c r="V17" s="38" t="str">
        <f>IF(AND('Mapa final'!$AD$19="Alta",'Mapa final'!$AF$19="Moderado"),CONCATENATE("R2C",'Mapa final'!$T$19),"")</f>
        <v/>
      </c>
      <c r="W17" s="39" t="str">
        <f>IF(AND('Mapa final'!$AD$20="Alta",'Mapa final'!$AF$20="Moderado"),CONCATENATE("R2C",'Mapa final'!$T$20),"")</f>
        <v/>
      </c>
      <c r="X17" s="39" t="str">
        <f>IF(AND('Mapa final'!$AD$21="Alta",'Mapa final'!$AF$21="Moderado"),CONCATENATE("R2C",'Mapa final'!$T$21),"")</f>
        <v/>
      </c>
      <c r="Y17" s="39" t="str">
        <f>IF(AND('Mapa final'!$AD$22="Alta",'Mapa final'!$AF$22="Moderado"),CONCATENATE("R2C",'Mapa final'!$T$22),"")</f>
        <v/>
      </c>
      <c r="Z17" s="39" t="str">
        <f>IF(AND('Mapa final'!$AD$23="Alta",'Mapa final'!$AF$23="Moderado"),CONCATENATE("R2C",'Mapa final'!$T$23),"")</f>
        <v/>
      </c>
      <c r="AA17" s="40" t="str">
        <f>IF(AND('Mapa final'!$AD$24="Alta",'Mapa final'!$AF$24="Moderado"),CONCATENATE("R2C",'Mapa final'!$T$24),"")</f>
        <v/>
      </c>
      <c r="AB17" s="38" t="str">
        <f>IF(AND('Mapa final'!$AD$19="Alta",'Mapa final'!$AF$19="Mayor"),CONCATENATE("R2C",'Mapa final'!$T$19),"")</f>
        <v/>
      </c>
      <c r="AC17" s="39" t="str">
        <f>IF(AND('Mapa final'!$AD$20="Alta",'Mapa final'!$AF$20="Mayor"),CONCATENATE("R2C",'Mapa final'!$T$20),"")</f>
        <v/>
      </c>
      <c r="AD17" s="39" t="str">
        <f>IF(AND('Mapa final'!$AD$21="Alta",'Mapa final'!$AF$21="Mayor"),CONCATENATE("R2C",'Mapa final'!$T$21),"")</f>
        <v/>
      </c>
      <c r="AE17" s="39" t="str">
        <f>IF(AND('Mapa final'!$AD$22="Alta",'Mapa final'!$AF$22="Mayor"),CONCATENATE("R2C",'Mapa final'!$T$22),"")</f>
        <v/>
      </c>
      <c r="AF17" s="39" t="str">
        <f>IF(AND('Mapa final'!$AD$23="Alta",'Mapa final'!$AF$23="Mayor"),CONCATENATE("R2C",'Mapa final'!$T$23),"")</f>
        <v/>
      </c>
      <c r="AG17" s="40" t="str">
        <f>IF(AND('Mapa final'!$AD$24="Alta",'Mapa final'!$AF$24="Mayor"),CONCATENATE("R2C",'Mapa final'!$T$24),"")</f>
        <v/>
      </c>
      <c r="AH17" s="41" t="str">
        <f>IF(AND('Mapa final'!$AD$19="Alta",'Mapa final'!$AF$19="Catastrófico"),CONCATENATE("R2C",'Mapa final'!$T$19),"")</f>
        <v/>
      </c>
      <c r="AI17" s="42" t="str">
        <f>IF(AND('Mapa final'!$AD$20="Alta",'Mapa final'!$AF$20="Catastrófico"),CONCATENATE("R2C",'Mapa final'!$T$20),"")</f>
        <v/>
      </c>
      <c r="AJ17" s="42" t="str">
        <f>IF(AND('Mapa final'!$AD$21="Alta",'Mapa final'!$AF$21="Catastrófico"),CONCATENATE("R2C",'Mapa final'!$T$21),"")</f>
        <v/>
      </c>
      <c r="AK17" s="42" t="str">
        <f>IF(AND('Mapa final'!$AD$22="Alta",'Mapa final'!$AF$22="Catastrófico"),CONCATENATE("R2C",'Mapa final'!$T$22),"")</f>
        <v/>
      </c>
      <c r="AL17" s="42" t="str">
        <f>IF(AND('Mapa final'!$AD$23="Alta",'Mapa final'!$AF$23="Catastrófico"),CONCATENATE("R2C",'Mapa final'!$T$23),"")</f>
        <v/>
      </c>
      <c r="AM17" s="43" t="str">
        <f>IF(AND('Mapa final'!$AD$24="Alta",'Mapa final'!$AF$24="Catastrófico"),CONCATENATE("R2C",'Mapa final'!$T$24),"")</f>
        <v/>
      </c>
      <c r="AN17" s="69"/>
      <c r="AO17" s="488"/>
      <c r="AP17" s="489"/>
      <c r="AQ17" s="489"/>
      <c r="AR17" s="489"/>
      <c r="AS17" s="489"/>
      <c r="AT17" s="490"/>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399"/>
      <c r="C18" s="399"/>
      <c r="D18" s="400"/>
      <c r="E18" s="498"/>
      <c r="F18" s="497"/>
      <c r="G18" s="497"/>
      <c r="H18" s="497"/>
      <c r="I18" s="497"/>
      <c r="J18" s="53" t="str">
        <f>IF(AND('Mapa final'!$AD$25="Alta",'Mapa final'!$AF$25="Leve"),CONCATENATE("R3C",'Mapa final'!$T$25),"")</f>
        <v/>
      </c>
      <c r="K18" s="54" t="str">
        <f>IF(AND('Mapa final'!$AD$26="Alta",'Mapa final'!$AF$26="Leve"),CONCATENATE("R3C",'Mapa final'!$T$26),"")</f>
        <v/>
      </c>
      <c r="L18" s="54" t="str">
        <f>IF(AND('Mapa final'!$AD$27="Alta",'Mapa final'!$AF$27="Leve"),CONCATENATE("R3C",'Mapa final'!$T$27),"")</f>
        <v/>
      </c>
      <c r="M18" s="54" t="str">
        <f>IF(AND('Mapa final'!$AD$28="Alta",'Mapa final'!$AF$28="Leve"),CONCATENATE("R3C",'Mapa final'!$T$28),"")</f>
        <v/>
      </c>
      <c r="N18" s="54" t="str">
        <f>IF(AND('Mapa final'!$AD$29="Alta",'Mapa final'!$AF$29="Leve"),CONCATENATE("R3C",'Mapa final'!$T$29),"")</f>
        <v/>
      </c>
      <c r="O18" s="55" t="str">
        <f>IF(AND('Mapa final'!$AD$30="Alta",'Mapa final'!$AF$30="Leve"),CONCATENATE("R3C",'Mapa final'!$T$30),"")</f>
        <v/>
      </c>
      <c r="P18" s="53" t="str">
        <f>IF(AND('Mapa final'!$AD$25="Alta",'Mapa final'!$AF$25="Menor"),CONCATENATE("R3C",'Mapa final'!$T$25),"")</f>
        <v/>
      </c>
      <c r="Q18" s="54" t="str">
        <f>IF(AND('Mapa final'!$AD$26="Alta",'Mapa final'!$AF$26="Menor"),CONCATENATE("R3C",'Mapa final'!$T$26),"")</f>
        <v/>
      </c>
      <c r="R18" s="54" t="str">
        <f>IF(AND('Mapa final'!$AD$27="Alta",'Mapa final'!$AF$27="Menor"),CONCATENATE("R3C",'Mapa final'!$T$27),"")</f>
        <v/>
      </c>
      <c r="S18" s="54" t="str">
        <f>IF(AND('Mapa final'!$AD$28="Alta",'Mapa final'!$AF$28="Menor"),CONCATENATE("R3C",'Mapa final'!$T$28),"")</f>
        <v/>
      </c>
      <c r="T18" s="54" t="str">
        <f>IF(AND('Mapa final'!$AD$29="Alta",'Mapa final'!$AF$29="Menor"),CONCATENATE("R3C",'Mapa final'!$T$29),"")</f>
        <v/>
      </c>
      <c r="U18" s="55" t="str">
        <f>IF(AND('Mapa final'!$AD$30="Alta",'Mapa final'!$AF$30="Menor"),CONCATENATE("R3C",'Mapa final'!$T$30),"")</f>
        <v/>
      </c>
      <c r="V18" s="38" t="str">
        <f>IF(AND('Mapa final'!$AD$25="Alta",'Mapa final'!$AF$25="Moderado"),CONCATENATE("R3C",'Mapa final'!$T$25),"")</f>
        <v/>
      </c>
      <c r="W18" s="39" t="str">
        <f>IF(AND('Mapa final'!$AD$26="Alta",'Mapa final'!$AF$26="Moderado"),CONCATENATE("R3C",'Mapa final'!$T$26),"")</f>
        <v/>
      </c>
      <c r="X18" s="39" t="str">
        <f>IF(AND('Mapa final'!$AD$27="Alta",'Mapa final'!$AF$27="Moderado"),CONCATENATE("R3C",'Mapa final'!$T$27),"")</f>
        <v/>
      </c>
      <c r="Y18" s="39" t="str">
        <f>IF(AND('Mapa final'!$AD$28="Alta",'Mapa final'!$AF$28="Moderado"),CONCATENATE("R3C",'Mapa final'!$T$28),"")</f>
        <v/>
      </c>
      <c r="Z18" s="39" t="str">
        <f>IF(AND('Mapa final'!$AD$29="Alta",'Mapa final'!$AF$29="Moderado"),CONCATENATE("R3C",'Mapa final'!$T$29),"")</f>
        <v/>
      </c>
      <c r="AA18" s="40" t="str">
        <f>IF(AND('Mapa final'!$AD$30="Alta",'Mapa final'!$AF$30="Moderado"),CONCATENATE("R3C",'Mapa final'!$T$30),"")</f>
        <v/>
      </c>
      <c r="AB18" s="38" t="str">
        <f>IF(AND('Mapa final'!$AD$25="Alta",'Mapa final'!$AF$25="Mayor"),CONCATENATE("R3C",'Mapa final'!$T$25),"")</f>
        <v/>
      </c>
      <c r="AC18" s="39" t="str">
        <f>IF(AND('Mapa final'!$AD$26="Alta",'Mapa final'!$AF$26="Mayor"),CONCATENATE("R3C",'Mapa final'!$T$26),"")</f>
        <v/>
      </c>
      <c r="AD18" s="39" t="str">
        <f>IF(AND('Mapa final'!$AD$27="Alta",'Mapa final'!$AF$27="Mayor"),CONCATENATE("R3C",'Mapa final'!$T$27),"")</f>
        <v/>
      </c>
      <c r="AE18" s="39" t="str">
        <f>IF(AND('Mapa final'!$AD$28="Alta",'Mapa final'!$AF$28="Mayor"),CONCATENATE("R3C",'Mapa final'!$T$28),"")</f>
        <v/>
      </c>
      <c r="AF18" s="39" t="str">
        <f>IF(AND('Mapa final'!$AD$29="Alta",'Mapa final'!$AF$29="Mayor"),CONCATENATE("R3C",'Mapa final'!$T$29),"")</f>
        <v/>
      </c>
      <c r="AG18" s="40" t="str">
        <f>IF(AND('Mapa final'!$AD$30="Alta",'Mapa final'!$AF$30="Mayor"),CONCATENATE("R3C",'Mapa final'!$T$30),"")</f>
        <v/>
      </c>
      <c r="AH18" s="41" t="str">
        <f>IF(AND('Mapa final'!$AD$25="Alta",'Mapa final'!$AF$25="Catastrófico"),CONCATENATE("R3C",'Mapa final'!$T$25),"")</f>
        <v/>
      </c>
      <c r="AI18" s="42" t="str">
        <f>IF(AND('Mapa final'!$AD$26="Alta",'Mapa final'!$AF$26="Catastrófico"),CONCATENATE("R3C",'Mapa final'!$T$26),"")</f>
        <v/>
      </c>
      <c r="AJ18" s="42" t="str">
        <f>IF(AND('Mapa final'!$AD$27="Alta",'Mapa final'!$AF$27="Catastrófico"),CONCATENATE("R3C",'Mapa final'!$T$27),"")</f>
        <v/>
      </c>
      <c r="AK18" s="42" t="str">
        <f>IF(AND('Mapa final'!$AD$28="Alta",'Mapa final'!$AF$28="Catastrófico"),CONCATENATE("R3C",'Mapa final'!$T$28),"")</f>
        <v/>
      </c>
      <c r="AL18" s="42" t="str">
        <f>IF(AND('Mapa final'!$AD$29="Alta",'Mapa final'!$AF$29="Catastrófico"),CONCATENATE("R3C",'Mapa final'!$T$29),"")</f>
        <v/>
      </c>
      <c r="AM18" s="43" t="str">
        <f>IF(AND('Mapa final'!$AD$30="Alta",'Mapa final'!$AF$30="Catastrófico"),CONCATENATE("R3C",'Mapa final'!$T$30),"")</f>
        <v/>
      </c>
      <c r="AN18" s="69"/>
      <c r="AO18" s="488"/>
      <c r="AP18" s="489"/>
      <c r="AQ18" s="489"/>
      <c r="AR18" s="489"/>
      <c r="AS18" s="489"/>
      <c r="AT18" s="490"/>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399"/>
      <c r="C19" s="399"/>
      <c r="D19" s="400"/>
      <c r="E19" s="498"/>
      <c r="F19" s="497"/>
      <c r="G19" s="497"/>
      <c r="H19" s="497"/>
      <c r="I19" s="497"/>
      <c r="J19" s="53" t="str">
        <f>IF(AND('Mapa final'!$AD$31="Alta",'Mapa final'!$AF$31="Leve"),CONCATENATE("R4C",'Mapa final'!$T$31),"")</f>
        <v/>
      </c>
      <c r="K19" s="54" t="str">
        <f>IF(AND('Mapa final'!$AD$32="Alta",'Mapa final'!$AF$32="Leve"),CONCATENATE("R4C",'Mapa final'!$T$32),"")</f>
        <v/>
      </c>
      <c r="L19" s="54" t="str">
        <f>IF(AND('Mapa final'!$AD$33="Alta",'Mapa final'!$AF$33="Leve"),CONCATENATE("R4C",'Mapa final'!$T$33),"")</f>
        <v/>
      </c>
      <c r="M19" s="54" t="str">
        <f>IF(AND('Mapa final'!$AD$34="Alta",'Mapa final'!$AF$34="Leve"),CONCATENATE("R4C",'Mapa final'!$T$34),"")</f>
        <v/>
      </c>
      <c r="N19" s="54" t="str">
        <f>IF(AND('Mapa final'!$AD$35="Alta",'Mapa final'!$AF$35="Leve"),CONCATENATE("R4C",'Mapa final'!$T$35),"")</f>
        <v/>
      </c>
      <c r="O19" s="55" t="str">
        <f>IF(AND('Mapa final'!$AD$36="Alta",'Mapa final'!$AF$36="Leve"),CONCATENATE("R4C",'Mapa final'!$T$36),"")</f>
        <v/>
      </c>
      <c r="P19" s="53" t="str">
        <f>IF(AND('Mapa final'!$AD$31="Alta",'Mapa final'!$AF$31="Menor"),CONCATENATE("R4C",'Mapa final'!$T$31),"")</f>
        <v/>
      </c>
      <c r="Q19" s="54" t="str">
        <f>IF(AND('Mapa final'!$AD$32="Alta",'Mapa final'!$AF$32="Menor"),CONCATENATE("R4C",'Mapa final'!$T$32),"")</f>
        <v/>
      </c>
      <c r="R19" s="54" t="str">
        <f>IF(AND('Mapa final'!$AD$33="Alta",'Mapa final'!$AF$33="Menor"),CONCATENATE("R4C",'Mapa final'!$T$33),"")</f>
        <v/>
      </c>
      <c r="S19" s="54" t="str">
        <f>IF(AND('Mapa final'!$AD$34="Alta",'Mapa final'!$AF$34="Menor"),CONCATENATE("R4C",'Mapa final'!$T$34),"")</f>
        <v/>
      </c>
      <c r="T19" s="54" t="str">
        <f>IF(AND('Mapa final'!$AD$35="Alta",'Mapa final'!$AF$35="Menor"),CONCATENATE("R4C",'Mapa final'!$T$35),"")</f>
        <v/>
      </c>
      <c r="U19" s="55" t="str">
        <f>IF(AND('Mapa final'!$AD$36="Alta",'Mapa final'!$AF$36="Menor"),CONCATENATE("R4C",'Mapa final'!$T$36),"")</f>
        <v/>
      </c>
      <c r="V19" s="38" t="str">
        <f>IF(AND('Mapa final'!$AD$31="Alta",'Mapa final'!$AF$31="Moderado"),CONCATENATE("R4C",'Mapa final'!$T$31),"")</f>
        <v/>
      </c>
      <c r="W19" s="39" t="str">
        <f>IF(AND('Mapa final'!$AD$32="Alta",'Mapa final'!$AF$32="Moderado"),CONCATENATE("R4C",'Mapa final'!$T$32),"")</f>
        <v/>
      </c>
      <c r="X19" s="39" t="str">
        <f>IF(AND('Mapa final'!$AD$33="Alta",'Mapa final'!$AF$33="Moderado"),CONCATENATE("R4C",'Mapa final'!$T$33),"")</f>
        <v/>
      </c>
      <c r="Y19" s="39" t="str">
        <f>IF(AND('Mapa final'!$AD$34="Alta",'Mapa final'!$AF$34="Moderado"),CONCATENATE("R4C",'Mapa final'!$T$34),"")</f>
        <v/>
      </c>
      <c r="Z19" s="39" t="str">
        <f>IF(AND('Mapa final'!$AD$35="Alta",'Mapa final'!$AF$35="Moderado"),CONCATENATE("R4C",'Mapa final'!$T$35),"")</f>
        <v/>
      </c>
      <c r="AA19" s="40" t="str">
        <f>IF(AND('Mapa final'!$AD$36="Alta",'Mapa final'!$AF$36="Moderado"),CONCATENATE("R4C",'Mapa final'!$T$36),"")</f>
        <v/>
      </c>
      <c r="AB19" s="38" t="str">
        <f>IF(AND('Mapa final'!$AD$31="Alta",'Mapa final'!$AF$31="Mayor"),CONCATENATE("R4C",'Mapa final'!$T$31),"")</f>
        <v/>
      </c>
      <c r="AC19" s="39" t="str">
        <f>IF(AND('Mapa final'!$AD$32="Alta",'Mapa final'!$AF$32="Mayor"),CONCATENATE("R4C",'Mapa final'!$T$32),"")</f>
        <v/>
      </c>
      <c r="AD19" s="39" t="str">
        <f>IF(AND('Mapa final'!$AD$33="Alta",'Mapa final'!$AF$33="Mayor"),CONCATENATE("R4C",'Mapa final'!$T$33),"")</f>
        <v/>
      </c>
      <c r="AE19" s="39" t="str">
        <f>IF(AND('Mapa final'!$AD$34="Alta",'Mapa final'!$AF$34="Mayor"),CONCATENATE("R4C",'Mapa final'!$T$34),"")</f>
        <v/>
      </c>
      <c r="AF19" s="39" t="str">
        <f>IF(AND('Mapa final'!$AD$35="Alta",'Mapa final'!$AF$35="Mayor"),CONCATENATE("R4C",'Mapa final'!$T$35),"")</f>
        <v/>
      </c>
      <c r="AG19" s="40" t="str">
        <f>IF(AND('Mapa final'!$AD$36="Alta",'Mapa final'!$AF$36="Mayor"),CONCATENATE("R4C",'Mapa final'!$T$36),"")</f>
        <v/>
      </c>
      <c r="AH19" s="41" t="str">
        <f>IF(AND('Mapa final'!$AD$31="Alta",'Mapa final'!$AF$31="Catastrófico"),CONCATENATE("R4C",'Mapa final'!$T$31),"")</f>
        <v/>
      </c>
      <c r="AI19" s="42" t="str">
        <f>IF(AND('Mapa final'!$AD$32="Alta",'Mapa final'!$AF$32="Catastrófico"),CONCATENATE("R4C",'Mapa final'!$T$32),"")</f>
        <v/>
      </c>
      <c r="AJ19" s="42" t="str">
        <f>IF(AND('Mapa final'!$AD$33="Alta",'Mapa final'!$AF$33="Catastrófico"),CONCATENATE("R4C",'Mapa final'!$T$33),"")</f>
        <v/>
      </c>
      <c r="AK19" s="42" t="str">
        <f>IF(AND('Mapa final'!$AD$34="Alta",'Mapa final'!$AF$34="Catastrófico"),CONCATENATE("R4C",'Mapa final'!$T$34),"")</f>
        <v/>
      </c>
      <c r="AL19" s="42" t="str">
        <f>IF(AND('Mapa final'!$AD$35="Alta",'Mapa final'!$AF$35="Catastrófico"),CONCATENATE("R4C",'Mapa final'!$T$35),"")</f>
        <v/>
      </c>
      <c r="AM19" s="43" t="str">
        <f>IF(AND('Mapa final'!$AD$36="Alta",'Mapa final'!$AF$36="Catastrófico"),CONCATENATE("R4C",'Mapa final'!$T$36),"")</f>
        <v/>
      </c>
      <c r="AN19" s="69"/>
      <c r="AO19" s="488"/>
      <c r="AP19" s="489"/>
      <c r="AQ19" s="489"/>
      <c r="AR19" s="489"/>
      <c r="AS19" s="489"/>
      <c r="AT19" s="490"/>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399"/>
      <c r="C20" s="399"/>
      <c r="D20" s="400"/>
      <c r="E20" s="498"/>
      <c r="F20" s="497"/>
      <c r="G20" s="497"/>
      <c r="H20" s="497"/>
      <c r="I20" s="497"/>
      <c r="J20" s="53" t="str">
        <f>IF(AND('Mapa final'!$AD$37="Alta",'Mapa final'!$AF$37="Leve"),CONCATENATE("R5C",'Mapa final'!$T$37),"")</f>
        <v/>
      </c>
      <c r="K20" s="54" t="str">
        <f>IF(AND('Mapa final'!$AD$38="Alta",'Mapa final'!$AF$38="Leve"),CONCATENATE("R5C",'Mapa final'!$T$38),"")</f>
        <v/>
      </c>
      <c r="L20" s="54" t="str">
        <f>IF(AND('Mapa final'!$AD$39="Alta",'Mapa final'!$AF$39="Leve"),CONCATENATE("R5C",'Mapa final'!$T$39),"")</f>
        <v/>
      </c>
      <c r="M20" s="54" t="str">
        <f>IF(AND('Mapa final'!$AD$40="Alta",'Mapa final'!$AF$40="Leve"),CONCATENATE("R5C",'Mapa final'!$T$40),"")</f>
        <v/>
      </c>
      <c r="N20" s="54" t="str">
        <f>IF(AND('Mapa final'!$AD$41="Alta",'Mapa final'!$AF$41="Leve"),CONCATENATE("R5C",'Mapa final'!$T$41),"")</f>
        <v/>
      </c>
      <c r="O20" s="55" t="str">
        <f>IF(AND('Mapa final'!$AD$42="Alta",'Mapa final'!$AF$42="Leve"),CONCATENATE("R5C",'Mapa final'!$T$42),"")</f>
        <v/>
      </c>
      <c r="P20" s="53" t="str">
        <f>IF(AND('Mapa final'!$AD$37="Alta",'Mapa final'!$AF$37="Menor"),CONCATENATE("R5C",'Mapa final'!$T$37),"")</f>
        <v/>
      </c>
      <c r="Q20" s="54" t="str">
        <f>IF(AND('Mapa final'!$AD$38="Alta",'Mapa final'!$AF$38="Menor"),CONCATENATE("R5C",'Mapa final'!$T$38),"")</f>
        <v/>
      </c>
      <c r="R20" s="54" t="str">
        <f>IF(AND('Mapa final'!$AD$39="Alta",'Mapa final'!$AF$39="Menor"),CONCATENATE("R5C",'Mapa final'!$T$39),"")</f>
        <v/>
      </c>
      <c r="S20" s="54" t="str">
        <f>IF(AND('Mapa final'!$AD$40="Alta",'Mapa final'!$AF$40="Menor"),CONCATENATE("R5C",'Mapa final'!$T$40),"")</f>
        <v/>
      </c>
      <c r="T20" s="54" t="str">
        <f>IF(AND('Mapa final'!$AD$41="Alta",'Mapa final'!$AF$41="Menor"),CONCATENATE("R5C",'Mapa final'!$T$41),"")</f>
        <v/>
      </c>
      <c r="U20" s="55" t="str">
        <f>IF(AND('Mapa final'!$AD$42="Alta",'Mapa final'!$AF$42="Menor"),CONCATENATE("R5C",'Mapa final'!$T$42),"")</f>
        <v/>
      </c>
      <c r="V20" s="38" t="str">
        <f>IF(AND('Mapa final'!$AD$37="Alta",'Mapa final'!$AF$37="Moderado"),CONCATENATE("R5C",'Mapa final'!$T$37),"")</f>
        <v/>
      </c>
      <c r="W20" s="39" t="str">
        <f>IF(AND('Mapa final'!$AD$38="Alta",'Mapa final'!$AF$38="Moderado"),CONCATENATE("R5C",'Mapa final'!$T$38),"")</f>
        <v/>
      </c>
      <c r="X20" s="39" t="str">
        <f>IF(AND('Mapa final'!$AD$39="Alta",'Mapa final'!$AF$39="Moderado"),CONCATENATE("R5C",'Mapa final'!$T$39),"")</f>
        <v/>
      </c>
      <c r="Y20" s="39" t="str">
        <f>IF(AND('Mapa final'!$AD$40="Alta",'Mapa final'!$AF$40="Moderado"),CONCATENATE("R5C",'Mapa final'!$T$40),"")</f>
        <v/>
      </c>
      <c r="Z20" s="39" t="str">
        <f>IF(AND('Mapa final'!$AD$41="Alta",'Mapa final'!$AF$41="Moderado"),CONCATENATE("R5C",'Mapa final'!$T$41),"")</f>
        <v/>
      </c>
      <c r="AA20" s="40" t="str">
        <f>IF(AND('Mapa final'!$AD$42="Alta",'Mapa final'!$AF$42="Moderado"),CONCATENATE("R5C",'Mapa final'!$T$42),"")</f>
        <v/>
      </c>
      <c r="AB20" s="38" t="str">
        <f>IF(AND('Mapa final'!$AD$37="Alta",'Mapa final'!$AF$37="Mayor"),CONCATENATE("R5C",'Mapa final'!$T$37),"")</f>
        <v/>
      </c>
      <c r="AC20" s="39" t="str">
        <f>IF(AND('Mapa final'!$AD$38="Alta",'Mapa final'!$AF$38="Mayor"),CONCATENATE("R5C",'Mapa final'!$T$38),"")</f>
        <v/>
      </c>
      <c r="AD20" s="39" t="str">
        <f>IF(AND('Mapa final'!$AD$39="Alta",'Mapa final'!$AF$39="Mayor"),CONCATENATE("R5C",'Mapa final'!$T$39),"")</f>
        <v/>
      </c>
      <c r="AE20" s="39" t="str">
        <f>IF(AND('Mapa final'!$AD$40="Alta",'Mapa final'!$AF$40="Mayor"),CONCATENATE("R5C",'Mapa final'!$T$40),"")</f>
        <v/>
      </c>
      <c r="AF20" s="39" t="str">
        <f>IF(AND('Mapa final'!$AD$41="Alta",'Mapa final'!$AF$41="Mayor"),CONCATENATE("R5C",'Mapa final'!$T$41),"")</f>
        <v/>
      </c>
      <c r="AG20" s="40" t="str">
        <f>IF(AND('Mapa final'!$AD$42="Alta",'Mapa final'!$AF$42="Mayor"),CONCATENATE("R5C",'Mapa final'!$T$42),"")</f>
        <v/>
      </c>
      <c r="AH20" s="41" t="str">
        <f>IF(AND('Mapa final'!$AD$37="Alta",'Mapa final'!$AF$37="Catastrófico"),CONCATENATE("R5C",'Mapa final'!$T$37),"")</f>
        <v/>
      </c>
      <c r="AI20" s="42" t="str">
        <f>IF(AND('Mapa final'!$AD$38="Alta",'Mapa final'!$AF$38="Catastrófico"),CONCATENATE("R5C",'Mapa final'!$T$38),"")</f>
        <v/>
      </c>
      <c r="AJ20" s="42" t="str">
        <f>IF(AND('Mapa final'!$AD$39="Alta",'Mapa final'!$AF$39="Catastrófico"),CONCATENATE("R5C",'Mapa final'!$T$39),"")</f>
        <v/>
      </c>
      <c r="AK20" s="42" t="str">
        <f>IF(AND('Mapa final'!$AD$40="Alta",'Mapa final'!$AF$40="Catastrófico"),CONCATENATE("R5C",'Mapa final'!$T$40),"")</f>
        <v/>
      </c>
      <c r="AL20" s="42" t="str">
        <f>IF(AND('Mapa final'!$AD$41="Alta",'Mapa final'!$AF$41="Catastrófico"),CONCATENATE("R5C",'Mapa final'!$T$41),"")</f>
        <v/>
      </c>
      <c r="AM20" s="43" t="str">
        <f>IF(AND('Mapa final'!$AD$42="Alta",'Mapa final'!$AF$42="Catastrófico"),CONCATENATE("R5C",'Mapa final'!$T$42),"")</f>
        <v/>
      </c>
      <c r="AN20" s="69"/>
      <c r="AO20" s="488"/>
      <c r="AP20" s="489"/>
      <c r="AQ20" s="489"/>
      <c r="AR20" s="489"/>
      <c r="AS20" s="489"/>
      <c r="AT20" s="490"/>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399"/>
      <c r="C21" s="399"/>
      <c r="D21" s="400"/>
      <c r="E21" s="498"/>
      <c r="F21" s="497"/>
      <c r="G21" s="497"/>
      <c r="H21" s="497"/>
      <c r="I21" s="497"/>
      <c r="J21" s="53" t="str">
        <f>IF(AND('Mapa final'!$AD$43="Alta",'Mapa final'!$AF$43="Leve"),CONCATENATE("R6C",'Mapa final'!$T$43),"")</f>
        <v/>
      </c>
      <c r="K21" s="54" t="str">
        <f>IF(AND('Mapa final'!$AD$44="Alta",'Mapa final'!$AF$44="Leve"),CONCATENATE("R6C",'Mapa final'!$T$44),"")</f>
        <v/>
      </c>
      <c r="L21" s="54" t="str">
        <f>IF(AND('Mapa final'!$AD$45="Alta",'Mapa final'!$AF$45="Leve"),CONCATENATE("R6C",'Mapa final'!$T$45),"")</f>
        <v/>
      </c>
      <c r="M21" s="54" t="str">
        <f>IF(AND('Mapa final'!$AD$46="Alta",'Mapa final'!$AF$46="Leve"),CONCATENATE("R6C",'Mapa final'!$T$46),"")</f>
        <v/>
      </c>
      <c r="N21" s="54" t="str">
        <f>IF(AND('Mapa final'!$AD$47="Alta",'Mapa final'!$AF$47="Leve"),CONCATENATE("R6C",'Mapa final'!$T$47),"")</f>
        <v/>
      </c>
      <c r="O21" s="55" t="str">
        <f>IF(AND('Mapa final'!$AD$48="Alta",'Mapa final'!$AF$48="Leve"),CONCATENATE("R6C",'Mapa final'!$T$48),"")</f>
        <v/>
      </c>
      <c r="P21" s="53" t="str">
        <f>IF(AND('Mapa final'!$AD$43="Alta",'Mapa final'!$AF$43="Menor"),CONCATENATE("R6C",'Mapa final'!$T$43),"")</f>
        <v/>
      </c>
      <c r="Q21" s="54" t="str">
        <f>IF(AND('Mapa final'!$AD$44="Alta",'Mapa final'!$AF$44="Menor"),CONCATENATE("R6C",'Mapa final'!$T$44),"")</f>
        <v/>
      </c>
      <c r="R21" s="54" t="str">
        <f>IF(AND('Mapa final'!$AD$45="Alta",'Mapa final'!$AF$45="Menor"),CONCATENATE("R6C",'Mapa final'!$T$45),"")</f>
        <v/>
      </c>
      <c r="S21" s="54" t="str">
        <f>IF(AND('Mapa final'!$AD$46="Alta",'Mapa final'!$AF$46="Menor"),CONCATENATE("R6C",'Mapa final'!$T$46),"")</f>
        <v/>
      </c>
      <c r="T21" s="54" t="str">
        <f>IF(AND('Mapa final'!$AD$47="Alta",'Mapa final'!$AF$47="Menor"),CONCATENATE("R6C",'Mapa final'!$T$47),"")</f>
        <v/>
      </c>
      <c r="U21" s="55" t="str">
        <f>IF(AND('Mapa final'!$AD$48="Alta",'Mapa final'!$AF$48="Menor"),CONCATENATE("R6C",'Mapa final'!$T$48),"")</f>
        <v/>
      </c>
      <c r="V21" s="38" t="str">
        <f>IF(AND('Mapa final'!$AD$43="Alta",'Mapa final'!$AF$43="Moderado"),CONCATENATE("R6C",'Mapa final'!$T$43),"")</f>
        <v/>
      </c>
      <c r="W21" s="39" t="str">
        <f>IF(AND('Mapa final'!$AD$44="Alta",'Mapa final'!$AF$44="Moderado"),CONCATENATE("R6C",'Mapa final'!$T$44),"")</f>
        <v/>
      </c>
      <c r="X21" s="39" t="str">
        <f>IF(AND('Mapa final'!$AD$45="Alta",'Mapa final'!$AF$45="Moderado"),CONCATENATE("R6C",'Mapa final'!$T$45),"")</f>
        <v/>
      </c>
      <c r="Y21" s="39" t="str">
        <f>IF(AND('Mapa final'!$AD$46="Alta",'Mapa final'!$AF$46="Moderado"),CONCATENATE("R6C",'Mapa final'!$T$46),"")</f>
        <v/>
      </c>
      <c r="Z21" s="39" t="str">
        <f>IF(AND('Mapa final'!$AD$47="Alta",'Mapa final'!$AF$47="Moderado"),CONCATENATE("R6C",'Mapa final'!$T$47),"")</f>
        <v/>
      </c>
      <c r="AA21" s="40" t="str">
        <f>IF(AND('Mapa final'!$AD$48="Alta",'Mapa final'!$AF$48="Moderado"),CONCATENATE("R6C",'Mapa final'!$T$48),"")</f>
        <v/>
      </c>
      <c r="AB21" s="38" t="str">
        <f>IF(AND('Mapa final'!$AD$43="Alta",'Mapa final'!$AF$43="Mayor"),CONCATENATE("R6C",'Mapa final'!$T$43),"")</f>
        <v/>
      </c>
      <c r="AC21" s="39" t="str">
        <f>IF(AND('Mapa final'!$AD$44="Alta",'Mapa final'!$AF$44="Mayor"),CONCATENATE("R6C",'Mapa final'!$T$44),"")</f>
        <v/>
      </c>
      <c r="AD21" s="39" t="str">
        <f>IF(AND('Mapa final'!$AD$45="Alta",'Mapa final'!$AF$45="Mayor"),CONCATENATE("R6C",'Mapa final'!$T$45),"")</f>
        <v/>
      </c>
      <c r="AE21" s="39" t="str">
        <f>IF(AND('Mapa final'!$AD$46="Alta",'Mapa final'!$AF$46="Mayor"),CONCATENATE("R6C",'Mapa final'!$T$46),"")</f>
        <v/>
      </c>
      <c r="AF21" s="39" t="str">
        <f>IF(AND('Mapa final'!$AD$47="Alta",'Mapa final'!$AF$47="Mayor"),CONCATENATE("R6C",'Mapa final'!$T$47),"")</f>
        <v/>
      </c>
      <c r="AG21" s="40" t="str">
        <f>IF(AND('Mapa final'!$AD$48="Alta",'Mapa final'!$AF$48="Mayor"),CONCATENATE("R6C",'Mapa final'!$T$48),"")</f>
        <v/>
      </c>
      <c r="AH21" s="41" t="str">
        <f>IF(AND('Mapa final'!$AD$43="Alta",'Mapa final'!$AF$43="Catastrófico"),CONCATENATE("R6C",'Mapa final'!$T$43),"")</f>
        <v/>
      </c>
      <c r="AI21" s="42" t="str">
        <f>IF(AND('Mapa final'!$AD$44="Alta",'Mapa final'!$AF$44="Catastrófico"),CONCATENATE("R6C",'Mapa final'!$T$44),"")</f>
        <v/>
      </c>
      <c r="AJ21" s="42" t="str">
        <f>IF(AND('Mapa final'!$AD$45="Alta",'Mapa final'!$AF$45="Catastrófico"),CONCATENATE("R6C",'Mapa final'!$T$45),"")</f>
        <v/>
      </c>
      <c r="AK21" s="42" t="str">
        <f>IF(AND('Mapa final'!$AD$46="Alta",'Mapa final'!$AF$46="Catastrófico"),CONCATENATE("R6C",'Mapa final'!$T$46),"")</f>
        <v/>
      </c>
      <c r="AL21" s="42" t="str">
        <f>IF(AND('Mapa final'!$AD$47="Alta",'Mapa final'!$AF$47="Catastrófico"),CONCATENATE("R6C",'Mapa final'!$T$47),"")</f>
        <v/>
      </c>
      <c r="AM21" s="43" t="str">
        <f>IF(AND('Mapa final'!$AD$48="Alta",'Mapa final'!$AF$48="Catastrófico"),CONCATENATE("R6C",'Mapa final'!$T$48),"")</f>
        <v/>
      </c>
      <c r="AN21" s="69"/>
      <c r="AO21" s="488"/>
      <c r="AP21" s="489"/>
      <c r="AQ21" s="489"/>
      <c r="AR21" s="489"/>
      <c r="AS21" s="489"/>
      <c r="AT21" s="490"/>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399"/>
      <c r="C22" s="399"/>
      <c r="D22" s="400"/>
      <c r="E22" s="498"/>
      <c r="F22" s="497"/>
      <c r="G22" s="497"/>
      <c r="H22" s="497"/>
      <c r="I22" s="497"/>
      <c r="J22" s="53" t="str">
        <f>IF(AND('Mapa final'!$AD$49="Alta",'Mapa final'!$AF$49="Leve"),CONCATENATE("R7C",'Mapa final'!$T$49),"")</f>
        <v/>
      </c>
      <c r="K22" s="54" t="str">
        <f>IF(AND('Mapa final'!$AD$50="Alta",'Mapa final'!$AF$50="Leve"),CONCATENATE("R7C",'Mapa final'!$T$50),"")</f>
        <v/>
      </c>
      <c r="L22" s="54" t="str">
        <f>IF(AND('Mapa final'!$AD$51="Alta",'Mapa final'!$AF$51="Leve"),CONCATENATE("R7C",'Mapa final'!$T$51),"")</f>
        <v/>
      </c>
      <c r="M22" s="54" t="str">
        <f>IF(AND('Mapa final'!$AD$52="Alta",'Mapa final'!$AF$52="Leve"),CONCATENATE("R7C",'Mapa final'!$T$52),"")</f>
        <v/>
      </c>
      <c r="N22" s="54" t="str">
        <f>IF(AND('Mapa final'!$AD$53="Alta",'Mapa final'!$AF$53="Leve"),CONCATENATE("R7C",'Mapa final'!$T$53),"")</f>
        <v/>
      </c>
      <c r="O22" s="55" t="str">
        <f>IF(AND('Mapa final'!$AD$54="Alta",'Mapa final'!$AF$54="Leve"),CONCATENATE("R7C",'Mapa final'!$T$54),"")</f>
        <v/>
      </c>
      <c r="P22" s="53" t="str">
        <f>IF(AND('Mapa final'!$AD$49="Alta",'Mapa final'!$AF$49="Menor"),CONCATENATE("R7C",'Mapa final'!$T$49),"")</f>
        <v/>
      </c>
      <c r="Q22" s="54" t="str">
        <f>IF(AND('Mapa final'!$AD$50="Alta",'Mapa final'!$AF$50="Menor"),CONCATENATE("R7C",'Mapa final'!$T$50),"")</f>
        <v/>
      </c>
      <c r="R22" s="54" t="str">
        <f>IF(AND('Mapa final'!$AD$51="Alta",'Mapa final'!$AF$51="Menor"),CONCATENATE("R7C",'Mapa final'!$T$51),"")</f>
        <v/>
      </c>
      <c r="S22" s="54" t="str">
        <f>IF(AND('Mapa final'!$AD$52="Alta",'Mapa final'!$AF$52="Menor"),CONCATENATE("R7C",'Mapa final'!$T$52),"")</f>
        <v/>
      </c>
      <c r="T22" s="54" t="str">
        <f>IF(AND('Mapa final'!$AD$53="Alta",'Mapa final'!$AF$53="Menor"),CONCATENATE("R7C",'Mapa final'!$T$53),"")</f>
        <v/>
      </c>
      <c r="U22" s="55" t="str">
        <f>IF(AND('Mapa final'!$AD$54="Alta",'Mapa final'!$AF$54="Menor"),CONCATENATE("R7C",'Mapa final'!$T$54),"")</f>
        <v/>
      </c>
      <c r="V22" s="38" t="str">
        <f>IF(AND('Mapa final'!$AD$49="Alta",'Mapa final'!$AF$49="Moderado"),CONCATENATE("R7C",'Mapa final'!$T$49),"")</f>
        <v/>
      </c>
      <c r="W22" s="39" t="str">
        <f>IF(AND('Mapa final'!$AD$50="Alta",'Mapa final'!$AF$50="Moderado"),CONCATENATE("R7C",'Mapa final'!$T$50),"")</f>
        <v/>
      </c>
      <c r="X22" s="39" t="str">
        <f>IF(AND('Mapa final'!$AD$51="Alta",'Mapa final'!$AF$51="Moderado"),CONCATENATE("R7C",'Mapa final'!$T$51),"")</f>
        <v/>
      </c>
      <c r="Y22" s="39" t="str">
        <f>IF(AND('Mapa final'!$AD$52="Alta",'Mapa final'!$AF$52="Moderado"),CONCATENATE("R7C",'Mapa final'!$T$52),"")</f>
        <v/>
      </c>
      <c r="Z22" s="39" t="str">
        <f>IF(AND('Mapa final'!$AD$53="Alta",'Mapa final'!$AF$53="Moderado"),CONCATENATE("R7C",'Mapa final'!$T$53),"")</f>
        <v/>
      </c>
      <c r="AA22" s="40" t="str">
        <f>IF(AND('Mapa final'!$AD$54="Alta",'Mapa final'!$AF$54="Moderado"),CONCATENATE("R7C",'Mapa final'!$T$54),"")</f>
        <v/>
      </c>
      <c r="AB22" s="38" t="str">
        <f>IF(AND('Mapa final'!$AD$49="Alta",'Mapa final'!$AF$49="Mayor"),CONCATENATE("R7C",'Mapa final'!$T$49),"")</f>
        <v/>
      </c>
      <c r="AC22" s="39" t="str">
        <f>IF(AND('Mapa final'!$AD$50="Alta",'Mapa final'!$AF$50="Mayor"),CONCATENATE("R7C",'Mapa final'!$T$50),"")</f>
        <v/>
      </c>
      <c r="AD22" s="39" t="str">
        <f>IF(AND('Mapa final'!$AD$51="Alta",'Mapa final'!$AF$51="Mayor"),CONCATENATE("R7C",'Mapa final'!$T$51),"")</f>
        <v/>
      </c>
      <c r="AE22" s="39" t="str">
        <f>IF(AND('Mapa final'!$AD$52="Alta",'Mapa final'!$AF$52="Mayor"),CONCATENATE("R7C",'Mapa final'!$T$52),"")</f>
        <v/>
      </c>
      <c r="AF22" s="39" t="str">
        <f>IF(AND('Mapa final'!$AD$53="Alta",'Mapa final'!$AF$53="Mayor"),CONCATENATE("R7C",'Mapa final'!$T$53),"")</f>
        <v/>
      </c>
      <c r="AG22" s="40" t="str">
        <f>IF(AND('Mapa final'!$AD$54="Alta",'Mapa final'!$AF$54="Mayor"),CONCATENATE("R7C",'Mapa final'!$T$54),"")</f>
        <v/>
      </c>
      <c r="AH22" s="41" t="str">
        <f>IF(AND('Mapa final'!$AD$49="Alta",'Mapa final'!$AF$49="Catastrófico"),CONCATENATE("R7C",'Mapa final'!$T$49),"")</f>
        <v/>
      </c>
      <c r="AI22" s="42" t="str">
        <f>IF(AND('Mapa final'!$AD$50="Alta",'Mapa final'!$AF$50="Catastrófico"),CONCATENATE("R7C",'Mapa final'!$T$50),"")</f>
        <v/>
      </c>
      <c r="AJ22" s="42" t="str">
        <f>IF(AND('Mapa final'!$AD$51="Alta",'Mapa final'!$AF$51="Catastrófico"),CONCATENATE("R7C",'Mapa final'!$T$51),"")</f>
        <v/>
      </c>
      <c r="AK22" s="42" t="str">
        <f>IF(AND('Mapa final'!$AD$52="Alta",'Mapa final'!$AF$52="Catastrófico"),CONCATENATE("R7C",'Mapa final'!$T$52),"")</f>
        <v/>
      </c>
      <c r="AL22" s="42" t="str">
        <f>IF(AND('Mapa final'!$AD$53="Alta",'Mapa final'!$AF$53="Catastrófico"),CONCATENATE("R7C",'Mapa final'!$T$53),"")</f>
        <v/>
      </c>
      <c r="AM22" s="43" t="str">
        <f>IF(AND('Mapa final'!$AD$54="Alta",'Mapa final'!$AF$54="Catastrófico"),CONCATENATE("R7C",'Mapa final'!$T$54),"")</f>
        <v/>
      </c>
      <c r="AN22" s="69"/>
      <c r="AO22" s="488"/>
      <c r="AP22" s="489"/>
      <c r="AQ22" s="489"/>
      <c r="AR22" s="489"/>
      <c r="AS22" s="489"/>
      <c r="AT22" s="490"/>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399"/>
      <c r="C23" s="399"/>
      <c r="D23" s="400"/>
      <c r="E23" s="498"/>
      <c r="F23" s="497"/>
      <c r="G23" s="497"/>
      <c r="H23" s="497"/>
      <c r="I23" s="497"/>
      <c r="J23" s="53" t="str">
        <f>IF(AND('Mapa final'!$AD$55="Alta",'Mapa final'!$AF$55="Leve"),CONCATENATE("R8C",'Mapa final'!$T$55),"")</f>
        <v/>
      </c>
      <c r="K23" s="54" t="str">
        <f>IF(AND('Mapa final'!$AD$56="Alta",'Mapa final'!$AF$56="Leve"),CONCATENATE("R8C",'Mapa final'!$T$56),"")</f>
        <v/>
      </c>
      <c r="L23" s="54" t="str">
        <f>IF(AND('Mapa final'!$AD$57="Alta",'Mapa final'!$AF$57="Leve"),CONCATENATE("R8C",'Mapa final'!$T$57),"")</f>
        <v/>
      </c>
      <c r="M23" s="54" t="str">
        <f>IF(AND('Mapa final'!$AD$58="Alta",'Mapa final'!$AF$58="Leve"),CONCATENATE("R8C",'Mapa final'!$T$58),"")</f>
        <v/>
      </c>
      <c r="N23" s="54" t="str">
        <f>IF(AND('Mapa final'!$AD$59="Alta",'Mapa final'!$AF$59="Leve"),CONCATENATE("R8C",'Mapa final'!$T$59),"")</f>
        <v/>
      </c>
      <c r="O23" s="55" t="str">
        <f>IF(AND('Mapa final'!$AD$60="Alta",'Mapa final'!$AF$60="Leve"),CONCATENATE("R8C",'Mapa final'!$T$60),"")</f>
        <v/>
      </c>
      <c r="P23" s="53" t="str">
        <f>IF(AND('Mapa final'!$AD$55="Alta",'Mapa final'!$AF$55="Menor"),CONCATENATE("R8C",'Mapa final'!$T$55),"")</f>
        <v/>
      </c>
      <c r="Q23" s="54" t="str">
        <f>IF(AND('Mapa final'!$AD$56="Alta",'Mapa final'!$AF$56="Menor"),CONCATENATE("R8C",'Mapa final'!$T$56),"")</f>
        <v/>
      </c>
      <c r="R23" s="54" t="str">
        <f>IF(AND('Mapa final'!$AD$57="Alta",'Mapa final'!$AF$57="Menor"),CONCATENATE("R8C",'Mapa final'!$T$57),"")</f>
        <v/>
      </c>
      <c r="S23" s="54" t="str">
        <f>IF(AND('Mapa final'!$AD$58="Alta",'Mapa final'!$AF$58="Menor"),CONCATENATE("R8C",'Mapa final'!$T$58),"")</f>
        <v/>
      </c>
      <c r="T23" s="54" t="str">
        <f>IF(AND('Mapa final'!$AD$59="Alta",'Mapa final'!$AF$59="Menor"),CONCATENATE("R8C",'Mapa final'!$T$59),"")</f>
        <v/>
      </c>
      <c r="U23" s="55" t="str">
        <f>IF(AND('Mapa final'!$AD$60="Alta",'Mapa final'!$AF$60="Menor"),CONCATENATE("R8C",'Mapa final'!$T$60),"")</f>
        <v/>
      </c>
      <c r="V23" s="38" t="str">
        <f>IF(AND('Mapa final'!$AD$55="Alta",'Mapa final'!$AF$55="Moderado"),CONCATENATE("R8C",'Mapa final'!$T$55),"")</f>
        <v/>
      </c>
      <c r="W23" s="39" t="str">
        <f>IF(AND('Mapa final'!$AD$56="Alta",'Mapa final'!$AF$56="Moderado"),CONCATENATE("R8C",'Mapa final'!$T$56),"")</f>
        <v/>
      </c>
      <c r="X23" s="39" t="str">
        <f>IF(AND('Mapa final'!$AD$57="Alta",'Mapa final'!$AF$57="Moderado"),CONCATENATE("R8C",'Mapa final'!$T$57),"")</f>
        <v/>
      </c>
      <c r="Y23" s="39" t="str">
        <f>IF(AND('Mapa final'!$AD$58="Alta",'Mapa final'!$AF$58="Moderado"),CONCATENATE("R8C",'Mapa final'!$T$58),"")</f>
        <v/>
      </c>
      <c r="Z23" s="39" t="str">
        <f>IF(AND('Mapa final'!$AD$59="Alta",'Mapa final'!$AF$59="Moderado"),CONCATENATE("R8C",'Mapa final'!$T$59),"")</f>
        <v/>
      </c>
      <c r="AA23" s="40" t="str">
        <f>IF(AND('Mapa final'!$AD$60="Alta",'Mapa final'!$AF$60="Moderado"),CONCATENATE("R8C",'Mapa final'!$T$60),"")</f>
        <v/>
      </c>
      <c r="AB23" s="38" t="str">
        <f>IF(AND('Mapa final'!$AD$55="Alta",'Mapa final'!$AF$55="Mayor"),CONCATENATE("R8C",'Mapa final'!$T$55),"")</f>
        <v/>
      </c>
      <c r="AC23" s="39" t="str">
        <f>IF(AND('Mapa final'!$AD$56="Alta",'Mapa final'!$AF$56="Mayor"),CONCATENATE("R8C",'Mapa final'!$T$56),"")</f>
        <v/>
      </c>
      <c r="AD23" s="39" t="str">
        <f>IF(AND('Mapa final'!$AD$57="Alta",'Mapa final'!$AF$57="Mayor"),CONCATENATE("R8C",'Mapa final'!$T$57),"")</f>
        <v/>
      </c>
      <c r="AE23" s="39" t="str">
        <f>IF(AND('Mapa final'!$AD$58="Alta",'Mapa final'!$AF$58="Mayor"),CONCATENATE("R8C",'Mapa final'!$T$58),"")</f>
        <v/>
      </c>
      <c r="AF23" s="39" t="str">
        <f>IF(AND('Mapa final'!$AD$59="Alta",'Mapa final'!$AF$59="Mayor"),CONCATENATE("R8C",'Mapa final'!$T$59),"")</f>
        <v/>
      </c>
      <c r="AG23" s="40" t="str">
        <f>IF(AND('Mapa final'!$AD$60="Alta",'Mapa final'!$AF$60="Mayor"),CONCATENATE("R8C",'Mapa final'!$T$60),"")</f>
        <v/>
      </c>
      <c r="AH23" s="41" t="str">
        <f>IF(AND('Mapa final'!$AD$55="Alta",'Mapa final'!$AF$55="Catastrófico"),CONCATENATE("R8C",'Mapa final'!$T$55),"")</f>
        <v/>
      </c>
      <c r="AI23" s="42" t="str">
        <f>IF(AND('Mapa final'!$AD$56="Alta",'Mapa final'!$AF$56="Catastrófico"),CONCATENATE("R8C",'Mapa final'!$T$56),"")</f>
        <v/>
      </c>
      <c r="AJ23" s="42" t="str">
        <f>IF(AND('Mapa final'!$AD$57="Alta",'Mapa final'!$AF$57="Catastrófico"),CONCATENATE("R8C",'Mapa final'!$T$57),"")</f>
        <v/>
      </c>
      <c r="AK23" s="42" t="str">
        <f>IF(AND('Mapa final'!$AD$58="Alta",'Mapa final'!$AF$58="Catastrófico"),CONCATENATE("R8C",'Mapa final'!$T$58),"")</f>
        <v/>
      </c>
      <c r="AL23" s="42" t="str">
        <f>IF(AND('Mapa final'!$AD$59="Alta",'Mapa final'!$AF$59="Catastrófico"),CONCATENATE("R8C",'Mapa final'!$T$59),"")</f>
        <v/>
      </c>
      <c r="AM23" s="43" t="str">
        <f>IF(AND('Mapa final'!$AD$60="Alta",'Mapa final'!$AF$60="Catastrófico"),CONCATENATE("R8C",'Mapa final'!$T$60),"")</f>
        <v/>
      </c>
      <c r="AN23" s="69"/>
      <c r="AO23" s="488"/>
      <c r="AP23" s="489"/>
      <c r="AQ23" s="489"/>
      <c r="AR23" s="489"/>
      <c r="AS23" s="489"/>
      <c r="AT23" s="490"/>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399"/>
      <c r="C24" s="399"/>
      <c r="D24" s="400"/>
      <c r="E24" s="498"/>
      <c r="F24" s="497"/>
      <c r="G24" s="497"/>
      <c r="H24" s="497"/>
      <c r="I24" s="497"/>
      <c r="J24" s="53" t="str">
        <f>IF(AND('Mapa final'!$AD$61="Alta",'Mapa final'!$AF$61="Leve"),CONCATENATE("R9C",'Mapa final'!$T$61),"")</f>
        <v/>
      </c>
      <c r="K24" s="54" t="str">
        <f>IF(AND('Mapa final'!$AD$62="Alta",'Mapa final'!$AF$62="Leve"),CONCATENATE("R9C",'Mapa final'!$T$62),"")</f>
        <v/>
      </c>
      <c r="L24" s="54" t="str">
        <f>IF(AND('Mapa final'!$AD$63="Alta",'Mapa final'!$AF$63="Leve"),CONCATENATE("R9C",'Mapa final'!$T$63),"")</f>
        <v/>
      </c>
      <c r="M24" s="54" t="str">
        <f>IF(AND('Mapa final'!$AD$64="Alta",'Mapa final'!$AF$64="Leve"),CONCATENATE("R9C",'Mapa final'!$T$64),"")</f>
        <v/>
      </c>
      <c r="N24" s="54" t="str">
        <f>IF(AND('Mapa final'!$AD$65="Alta",'Mapa final'!$AF$65="Leve"),CONCATENATE("R9C",'Mapa final'!$T$65),"")</f>
        <v/>
      </c>
      <c r="O24" s="55" t="str">
        <f>IF(AND('Mapa final'!$AD$66="Alta",'Mapa final'!$AF$66="Leve"),CONCATENATE("R9C",'Mapa final'!$T$66),"")</f>
        <v/>
      </c>
      <c r="P24" s="53" t="str">
        <f>IF(AND('Mapa final'!$AD$61="Alta",'Mapa final'!$AF$61="Menor"),CONCATENATE("R9C",'Mapa final'!$T$61),"")</f>
        <v/>
      </c>
      <c r="Q24" s="54" t="str">
        <f>IF(AND('Mapa final'!$AD$62="Alta",'Mapa final'!$AF$62="Menor"),CONCATENATE("R9C",'Mapa final'!$T$62),"")</f>
        <v/>
      </c>
      <c r="R24" s="54" t="str">
        <f>IF(AND('Mapa final'!$AD$63="Alta",'Mapa final'!$AF$63="Menor"),CONCATENATE("R9C",'Mapa final'!$T$63),"")</f>
        <v/>
      </c>
      <c r="S24" s="54" t="str">
        <f>IF(AND('Mapa final'!$AD$64="Alta",'Mapa final'!$AF$64="Menor"),CONCATENATE("R9C",'Mapa final'!$T$64),"")</f>
        <v/>
      </c>
      <c r="T24" s="54" t="str">
        <f>IF(AND('Mapa final'!$AD$65="Alta",'Mapa final'!$AF$65="Menor"),CONCATENATE("R9C",'Mapa final'!$T$65),"")</f>
        <v/>
      </c>
      <c r="U24" s="55" t="str">
        <f>IF(AND('Mapa final'!$AD$66="Alta",'Mapa final'!$AF$66="Menor"),CONCATENATE("R9C",'Mapa final'!$T$66),"")</f>
        <v/>
      </c>
      <c r="V24" s="38" t="str">
        <f>IF(AND('Mapa final'!$AD$61="Alta",'Mapa final'!$AF$61="Moderado"),CONCATENATE("R9C",'Mapa final'!$T$61),"")</f>
        <v/>
      </c>
      <c r="W24" s="39" t="str">
        <f>IF(AND('Mapa final'!$AD$62="Alta",'Mapa final'!$AF$62="Moderado"),CONCATENATE("R9C",'Mapa final'!$T$62),"")</f>
        <v/>
      </c>
      <c r="X24" s="39" t="str">
        <f>IF(AND('Mapa final'!$AD$63="Alta",'Mapa final'!$AF$63="Moderado"),CONCATENATE("R9C",'Mapa final'!$T$63),"")</f>
        <v/>
      </c>
      <c r="Y24" s="39" t="str">
        <f>IF(AND('Mapa final'!$AD$64="Alta",'Mapa final'!$AF$64="Moderado"),CONCATENATE("R9C",'Mapa final'!$T$64),"")</f>
        <v/>
      </c>
      <c r="Z24" s="39" t="str">
        <f>IF(AND('Mapa final'!$AD$65="Alta",'Mapa final'!$AF$65="Moderado"),CONCATENATE("R9C",'Mapa final'!$T$65),"")</f>
        <v/>
      </c>
      <c r="AA24" s="40" t="str">
        <f>IF(AND('Mapa final'!$AD$66="Alta",'Mapa final'!$AF$66="Moderado"),CONCATENATE("R9C",'Mapa final'!$T$66),"")</f>
        <v/>
      </c>
      <c r="AB24" s="38" t="str">
        <f>IF(AND('Mapa final'!$AD$61="Alta",'Mapa final'!$AF$61="Mayor"),CONCATENATE("R9C",'Mapa final'!$T$61),"")</f>
        <v/>
      </c>
      <c r="AC24" s="39" t="str">
        <f>IF(AND('Mapa final'!$AD$62="Alta",'Mapa final'!$AF$62="Mayor"),CONCATENATE("R9C",'Mapa final'!$T$62),"")</f>
        <v/>
      </c>
      <c r="AD24" s="39" t="str">
        <f>IF(AND('Mapa final'!$AD$63="Alta",'Mapa final'!$AF$63="Mayor"),CONCATENATE("R9C",'Mapa final'!$T$63),"")</f>
        <v/>
      </c>
      <c r="AE24" s="39" t="str">
        <f>IF(AND('Mapa final'!$AD$64="Alta",'Mapa final'!$AF$64="Mayor"),CONCATENATE("R9C",'Mapa final'!$T$64),"")</f>
        <v/>
      </c>
      <c r="AF24" s="39" t="str">
        <f>IF(AND('Mapa final'!$AD$65="Alta",'Mapa final'!$AF$65="Mayor"),CONCATENATE("R9C",'Mapa final'!$T$65),"")</f>
        <v/>
      </c>
      <c r="AG24" s="40" t="str">
        <f>IF(AND('Mapa final'!$AD$66="Alta",'Mapa final'!$AF$66="Mayor"),CONCATENATE("R9C",'Mapa final'!$T$66),"")</f>
        <v/>
      </c>
      <c r="AH24" s="41" t="str">
        <f>IF(AND('Mapa final'!$AD$61="Alta",'Mapa final'!$AF$61="Catastrófico"),CONCATENATE("R9C",'Mapa final'!$T$61),"")</f>
        <v/>
      </c>
      <c r="AI24" s="42" t="str">
        <f>IF(AND('Mapa final'!$AD$62="Alta",'Mapa final'!$AF$62="Catastrófico"),CONCATENATE("R9C",'Mapa final'!$T$62),"")</f>
        <v/>
      </c>
      <c r="AJ24" s="42" t="str">
        <f>IF(AND('Mapa final'!$AD$63="Alta",'Mapa final'!$AF$63="Catastrófico"),CONCATENATE("R9C",'Mapa final'!$T$63),"")</f>
        <v/>
      </c>
      <c r="AK24" s="42" t="str">
        <f>IF(AND('Mapa final'!$AD$64="Alta",'Mapa final'!$AF$64="Catastrófico"),CONCATENATE("R9C",'Mapa final'!$T$64),"")</f>
        <v/>
      </c>
      <c r="AL24" s="42" t="str">
        <f>IF(AND('Mapa final'!$AD$65="Alta",'Mapa final'!$AF$65="Catastrófico"),CONCATENATE("R9C",'Mapa final'!$T$65),"")</f>
        <v/>
      </c>
      <c r="AM24" s="43" t="str">
        <f>IF(AND('Mapa final'!$AD$66="Alta",'Mapa final'!$AF$66="Catastrófico"),CONCATENATE("R9C",'Mapa final'!$T$66),"")</f>
        <v/>
      </c>
      <c r="AN24" s="69"/>
      <c r="AO24" s="488"/>
      <c r="AP24" s="489"/>
      <c r="AQ24" s="489"/>
      <c r="AR24" s="489"/>
      <c r="AS24" s="489"/>
      <c r="AT24" s="490"/>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399"/>
      <c r="C25" s="399"/>
      <c r="D25" s="400"/>
      <c r="E25" s="499"/>
      <c r="F25" s="500"/>
      <c r="G25" s="500"/>
      <c r="H25" s="500"/>
      <c r="I25" s="500"/>
      <c r="J25" s="56" t="str">
        <f>IF(AND('Mapa final'!$AD$67="Alta",'Mapa final'!$AF$67="Leve"),CONCATENATE("R10C",'Mapa final'!$T$67),"")</f>
        <v/>
      </c>
      <c r="K25" s="57" t="str">
        <f>IF(AND('Mapa final'!$AD$68="Alta",'Mapa final'!$AF$68="Leve"),CONCATENATE("R10C",'Mapa final'!$T$68),"")</f>
        <v/>
      </c>
      <c r="L25" s="57" t="str">
        <f>IF(AND('Mapa final'!$AD$69="Alta",'Mapa final'!$AF$69="Leve"),CONCATENATE("R10C",'Mapa final'!$T$69),"")</f>
        <v/>
      </c>
      <c r="M25" s="57" t="str">
        <f>IF(AND('Mapa final'!$AD$70="Alta",'Mapa final'!$AF$70="Leve"),CONCATENATE("R10C",'Mapa final'!$T$70),"")</f>
        <v/>
      </c>
      <c r="N25" s="57" t="str">
        <f>IF(AND('Mapa final'!$AD$71="Alta",'Mapa final'!$AF$71="Leve"),CONCATENATE("R10C",'Mapa final'!$T$71),"")</f>
        <v/>
      </c>
      <c r="O25" s="58" t="str">
        <f>IF(AND('Mapa final'!$AD$72="Alta",'Mapa final'!$AF$72="Leve"),CONCATENATE("R10C",'Mapa final'!$T$72),"")</f>
        <v/>
      </c>
      <c r="P25" s="56" t="str">
        <f>IF(AND('Mapa final'!$AD$67="Alta",'Mapa final'!$AF$67="Menor"),CONCATENATE("R10C",'Mapa final'!$T$67),"")</f>
        <v/>
      </c>
      <c r="Q25" s="57" t="str">
        <f>IF(AND('Mapa final'!$AD$68="Alta",'Mapa final'!$AF$68="Menor"),CONCATENATE("R10C",'Mapa final'!$T$68),"")</f>
        <v/>
      </c>
      <c r="R25" s="57" t="str">
        <f>IF(AND('Mapa final'!$AD$69="Alta",'Mapa final'!$AF$69="Menor"),CONCATENATE("R10C",'Mapa final'!$T$69),"")</f>
        <v/>
      </c>
      <c r="S25" s="57" t="str">
        <f>IF(AND('Mapa final'!$AD$70="Alta",'Mapa final'!$AF$70="Menor"),CONCATENATE("R10C",'Mapa final'!$T$70),"")</f>
        <v/>
      </c>
      <c r="T25" s="57" t="str">
        <f>IF(AND('Mapa final'!$AD$71="Alta",'Mapa final'!$AF$71="Menor"),CONCATENATE("R10C",'Mapa final'!$T$71),"")</f>
        <v/>
      </c>
      <c r="U25" s="58" t="str">
        <f>IF(AND('Mapa final'!$AD$72="Alta",'Mapa final'!$AF$72="Menor"),CONCATENATE("R10C",'Mapa final'!$T$72),"")</f>
        <v/>
      </c>
      <c r="V25" s="44" t="str">
        <f>IF(AND('Mapa final'!$AD$67="Alta",'Mapa final'!$AF$67="Moderado"),CONCATENATE("R10C",'Mapa final'!$T$67),"")</f>
        <v/>
      </c>
      <c r="W25" s="45" t="str">
        <f>IF(AND('Mapa final'!$AD$68="Alta",'Mapa final'!$AF$68="Moderado"),CONCATENATE("R10C",'Mapa final'!$T$68),"")</f>
        <v/>
      </c>
      <c r="X25" s="45" t="str">
        <f>IF(AND('Mapa final'!$AD$69="Alta",'Mapa final'!$AF$69="Moderado"),CONCATENATE("R10C",'Mapa final'!$T$69),"")</f>
        <v/>
      </c>
      <c r="Y25" s="45" t="str">
        <f>IF(AND('Mapa final'!$AD$70="Alta",'Mapa final'!$AF$70="Moderado"),CONCATENATE("R10C",'Mapa final'!$T$70),"")</f>
        <v/>
      </c>
      <c r="Z25" s="45" t="str">
        <f>IF(AND('Mapa final'!$AD$71="Alta",'Mapa final'!$AF$71="Moderado"),CONCATENATE("R10C",'Mapa final'!$T$71),"")</f>
        <v/>
      </c>
      <c r="AA25" s="46" t="str">
        <f>IF(AND('Mapa final'!$AD$72="Alta",'Mapa final'!$AF$72="Moderado"),CONCATENATE("R10C",'Mapa final'!$T$72),"")</f>
        <v/>
      </c>
      <c r="AB25" s="44" t="str">
        <f>IF(AND('Mapa final'!$AD$67="Alta",'Mapa final'!$AF$67="Mayor"),CONCATENATE("R10C",'Mapa final'!$T$67),"")</f>
        <v/>
      </c>
      <c r="AC25" s="45" t="str">
        <f>IF(AND('Mapa final'!$AD$68="Alta",'Mapa final'!$AF$68="Mayor"),CONCATENATE("R10C",'Mapa final'!$T$68),"")</f>
        <v/>
      </c>
      <c r="AD25" s="45" t="str">
        <f>IF(AND('Mapa final'!$AD$69="Alta",'Mapa final'!$AF$69="Mayor"),CONCATENATE("R10C",'Mapa final'!$T$69),"")</f>
        <v/>
      </c>
      <c r="AE25" s="45" t="str">
        <f>IF(AND('Mapa final'!$AD$70="Alta",'Mapa final'!$AF$70="Mayor"),CONCATENATE("R10C",'Mapa final'!$T$70),"")</f>
        <v/>
      </c>
      <c r="AF25" s="45" t="str">
        <f>IF(AND('Mapa final'!$AD$71="Alta",'Mapa final'!$AF$71="Mayor"),CONCATENATE("R10C",'Mapa final'!$T$71),"")</f>
        <v/>
      </c>
      <c r="AG25" s="46" t="str">
        <f>IF(AND('Mapa final'!$AD$72="Alta",'Mapa final'!$AF$72="Mayor"),CONCATENATE("R10C",'Mapa final'!$T$72),"")</f>
        <v/>
      </c>
      <c r="AH25" s="47" t="str">
        <f>IF(AND('Mapa final'!$AD$67="Alta",'Mapa final'!$AF$67="Catastrófico"),CONCATENATE("R10C",'Mapa final'!$T$67),"")</f>
        <v/>
      </c>
      <c r="AI25" s="48" t="str">
        <f>IF(AND('Mapa final'!$AD$68="Alta",'Mapa final'!$AF$68="Catastrófico"),CONCATENATE("R10C",'Mapa final'!$T$68),"")</f>
        <v/>
      </c>
      <c r="AJ25" s="48" t="str">
        <f>IF(AND('Mapa final'!$AD$69="Alta",'Mapa final'!$AF$69="Catastrófico"),CONCATENATE("R10C",'Mapa final'!$T$69),"")</f>
        <v/>
      </c>
      <c r="AK25" s="48" t="str">
        <f>IF(AND('Mapa final'!$AD$70="Alta",'Mapa final'!$AF$70="Catastrófico"),CONCATENATE("R10C",'Mapa final'!$T$70),"")</f>
        <v/>
      </c>
      <c r="AL25" s="48" t="str">
        <f>IF(AND('Mapa final'!$AD$71="Alta",'Mapa final'!$AF$71="Catastrófico"),CONCATENATE("R10C",'Mapa final'!$T$71),"")</f>
        <v/>
      </c>
      <c r="AM25" s="49" t="str">
        <f>IF(AND('Mapa final'!$AD$72="Alta",'Mapa final'!$AF$72="Catastrófico"),CONCATENATE("R10C",'Mapa final'!$T$72),"")</f>
        <v/>
      </c>
      <c r="AN25" s="69"/>
      <c r="AO25" s="491"/>
      <c r="AP25" s="492"/>
      <c r="AQ25" s="492"/>
      <c r="AR25" s="492"/>
      <c r="AS25" s="492"/>
      <c r="AT25" s="493"/>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399"/>
      <c r="C26" s="399"/>
      <c r="D26" s="400"/>
      <c r="E26" s="494" t="s">
        <v>117</v>
      </c>
      <c r="F26" s="495"/>
      <c r="G26" s="495"/>
      <c r="H26" s="495"/>
      <c r="I26" s="512"/>
      <c r="J26" s="50" t="str">
        <f>IF(AND('Mapa final'!$AD$13="Media",'Mapa final'!$AF$13="Leve"),CONCATENATE("R1C",'Mapa final'!$T$13),"")</f>
        <v/>
      </c>
      <c r="K26" s="51" t="str">
        <f>IF(AND('Mapa final'!$AD$14="Media",'Mapa final'!$AF$14="Leve"),CONCATENATE("R1C",'Mapa final'!$T$14),"")</f>
        <v/>
      </c>
      <c r="L26" s="51" t="str">
        <f>IF(AND('Mapa final'!$AD$15="Media",'Mapa final'!$AF$15="Leve"),CONCATENATE("R1C",'Mapa final'!$T$15),"")</f>
        <v/>
      </c>
      <c r="M26" s="51" t="str">
        <f>IF(AND('Mapa final'!$AD$16="Media",'Mapa final'!$AF$16="Leve"),CONCATENATE("R1C",'Mapa final'!$T$16),"")</f>
        <v/>
      </c>
      <c r="N26" s="51" t="str">
        <f>IF(AND('Mapa final'!$AD$17="Media",'Mapa final'!$AF$17="Leve"),CONCATENATE("R1C",'Mapa final'!$T$17),"")</f>
        <v/>
      </c>
      <c r="O26" s="52" t="str">
        <f>IF(AND('Mapa final'!$AD$18="Media",'Mapa final'!$AF$18="Leve"),CONCATENATE("R1C",'Mapa final'!$T$18),"")</f>
        <v/>
      </c>
      <c r="P26" s="50" t="str">
        <f>IF(AND('Mapa final'!$AD$13="Media",'Mapa final'!$AF$13="Menor"),CONCATENATE("R1C",'Mapa final'!$T$13),"")</f>
        <v/>
      </c>
      <c r="Q26" s="51" t="str">
        <f>IF(AND('Mapa final'!$AD$14="Media",'Mapa final'!$AF$14="Menor"),CONCATENATE("R1C",'Mapa final'!$T$14),"")</f>
        <v/>
      </c>
      <c r="R26" s="51" t="str">
        <f>IF(AND('Mapa final'!$AD$15="Media",'Mapa final'!$AF$15="Menor"),CONCATENATE("R1C",'Mapa final'!$T$15),"")</f>
        <v/>
      </c>
      <c r="S26" s="51" t="str">
        <f>IF(AND('Mapa final'!$AD$16="Media",'Mapa final'!$AF$16="Menor"),CONCATENATE("R1C",'Mapa final'!$T$16),"")</f>
        <v/>
      </c>
      <c r="T26" s="51" t="str">
        <f>IF(AND('Mapa final'!$AD$17="Media",'Mapa final'!$AF$17="Menor"),CONCATENATE("R1C",'Mapa final'!$T$17),"")</f>
        <v/>
      </c>
      <c r="U26" s="52" t="str">
        <f>IF(AND('Mapa final'!$AD$18="Media",'Mapa final'!$AF$18="Menor"),CONCATENATE("R1C",'Mapa final'!$T$18),"")</f>
        <v/>
      </c>
      <c r="V26" s="50" t="str">
        <f>IF(AND('Mapa final'!$AD$13="Media",'Mapa final'!$AF$13="Moderado"),CONCATENATE("R1C",'Mapa final'!$T$13),"")</f>
        <v/>
      </c>
      <c r="W26" s="51" t="str">
        <f>IF(AND('Mapa final'!$AD$14="Media",'Mapa final'!$AF$14="Moderado"),CONCATENATE("R1C",'Mapa final'!$T$14),"")</f>
        <v/>
      </c>
      <c r="X26" s="51" t="str">
        <f>IF(AND('Mapa final'!$AD$15="Media",'Mapa final'!$AF$15="Moderado"),CONCATENATE("R1C",'Mapa final'!$T$15),"")</f>
        <v/>
      </c>
      <c r="Y26" s="51" t="str">
        <f>IF(AND('Mapa final'!$AD$16="Media",'Mapa final'!$AF$16="Moderado"),CONCATENATE("R1C",'Mapa final'!$T$16),"")</f>
        <v/>
      </c>
      <c r="Z26" s="51" t="str">
        <f>IF(AND('Mapa final'!$AD$17="Media",'Mapa final'!$AF$17="Moderado"),CONCATENATE("R1C",'Mapa final'!$T$17),"")</f>
        <v/>
      </c>
      <c r="AA26" s="52" t="str">
        <f>IF(AND('Mapa final'!$AD$18="Media",'Mapa final'!$AF$18="Moderado"),CONCATENATE("R1C",'Mapa final'!$T$18),"")</f>
        <v/>
      </c>
      <c r="AB26" s="32" t="str">
        <f>IF(AND('Mapa final'!$AD$13="Media",'Mapa final'!$AF$13="Mayor"),CONCATENATE("R1C",'Mapa final'!$T$13),"")</f>
        <v>R1C1</v>
      </c>
      <c r="AC26" s="33" t="str">
        <f>IF(AND('Mapa final'!$AD$14="Media",'Mapa final'!$AF$14="Mayor"),CONCATENATE("R1C",'Mapa final'!$T$14),"")</f>
        <v/>
      </c>
      <c r="AD26" s="33" t="str">
        <f>IF(AND('Mapa final'!$AD$15="Media",'Mapa final'!$AF$15="Mayor"),CONCATENATE("R1C",'Mapa final'!$T$15),"")</f>
        <v/>
      </c>
      <c r="AE26" s="33" t="str">
        <f>IF(AND('Mapa final'!$AD$16="Media",'Mapa final'!$AF$16="Mayor"),CONCATENATE("R1C",'Mapa final'!$T$16),"")</f>
        <v/>
      </c>
      <c r="AF26" s="33" t="str">
        <f>IF(AND('Mapa final'!$AD$17="Media",'Mapa final'!$AF$17="Mayor"),CONCATENATE("R1C",'Mapa final'!$T$17),"")</f>
        <v/>
      </c>
      <c r="AG26" s="34" t="str">
        <f>IF(AND('Mapa final'!$AD$18="Media",'Mapa final'!$AF$18="Mayor"),CONCATENATE("R1C",'Mapa final'!$T$18),"")</f>
        <v/>
      </c>
      <c r="AH26" s="35" t="str">
        <f>IF(AND('Mapa final'!$AD$13="Media",'Mapa final'!$AF$13="Catastrófico"),CONCATENATE("R1C",'Mapa final'!$T$13),"")</f>
        <v/>
      </c>
      <c r="AI26" s="36" t="str">
        <f>IF(AND('Mapa final'!$AD$14="Media",'Mapa final'!$AF$14="Catastrófico"),CONCATENATE("R1C",'Mapa final'!$T$14),"")</f>
        <v/>
      </c>
      <c r="AJ26" s="36" t="str">
        <f>IF(AND('Mapa final'!$AD$15="Media",'Mapa final'!$AF$15="Catastrófico"),CONCATENATE("R1C",'Mapa final'!$T$15),"")</f>
        <v/>
      </c>
      <c r="AK26" s="36" t="str">
        <f>IF(AND('Mapa final'!$AD$16="Media",'Mapa final'!$AF$16="Catastrófico"),CONCATENATE("R1C",'Mapa final'!$T$16),"")</f>
        <v/>
      </c>
      <c r="AL26" s="36" t="str">
        <f>IF(AND('Mapa final'!$AD$17="Media",'Mapa final'!$AF$17="Catastrófico"),CONCATENATE("R1C",'Mapa final'!$T$17),"")</f>
        <v/>
      </c>
      <c r="AM26" s="37" t="str">
        <f>IF(AND('Mapa final'!$AD$18="Media",'Mapa final'!$AF$18="Catastrófico"),CONCATENATE("R1C",'Mapa final'!$T$18),"")</f>
        <v/>
      </c>
      <c r="AN26" s="69"/>
      <c r="AO26" s="524" t="s">
        <v>81</v>
      </c>
      <c r="AP26" s="525"/>
      <c r="AQ26" s="525"/>
      <c r="AR26" s="525"/>
      <c r="AS26" s="525"/>
      <c r="AT26" s="526"/>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399"/>
      <c r="C27" s="399"/>
      <c r="D27" s="400"/>
      <c r="E27" s="496"/>
      <c r="F27" s="497"/>
      <c r="G27" s="497"/>
      <c r="H27" s="497"/>
      <c r="I27" s="513"/>
      <c r="J27" s="53" t="str">
        <f>IF(AND('Mapa final'!$AD$19="Media",'Mapa final'!$AF$19="Leve"),CONCATENATE("R2C",'Mapa final'!$T$19),"")</f>
        <v/>
      </c>
      <c r="K27" s="54" t="str">
        <f>IF(AND('Mapa final'!$AD$20="Media",'Mapa final'!$AF$20="Leve"),CONCATENATE("R2C",'Mapa final'!$T$20),"")</f>
        <v/>
      </c>
      <c r="L27" s="54" t="str">
        <f>IF(AND('Mapa final'!$AD$21="Media",'Mapa final'!$AF$21="Leve"),CONCATENATE("R2C",'Mapa final'!$T$21),"")</f>
        <v/>
      </c>
      <c r="M27" s="54" t="str">
        <f>IF(AND('Mapa final'!$AD$22="Media",'Mapa final'!$AF$22="Leve"),CONCATENATE("R2C",'Mapa final'!$T$22),"")</f>
        <v/>
      </c>
      <c r="N27" s="54" t="str">
        <f>IF(AND('Mapa final'!$AD$23="Media",'Mapa final'!$AF$23="Leve"),CONCATENATE("R2C",'Mapa final'!$T$23),"")</f>
        <v/>
      </c>
      <c r="O27" s="55" t="str">
        <f>IF(AND('Mapa final'!$AD$24="Media",'Mapa final'!$AF$24="Leve"),CONCATENATE("R2C",'Mapa final'!$T$24),"")</f>
        <v/>
      </c>
      <c r="P27" s="53" t="str">
        <f>IF(AND('Mapa final'!$AD$19="Media",'Mapa final'!$AF$19="Menor"),CONCATENATE("R2C",'Mapa final'!$T$19),"")</f>
        <v/>
      </c>
      <c r="Q27" s="54" t="str">
        <f>IF(AND('Mapa final'!$AD$20="Media",'Mapa final'!$AF$20="Menor"),CONCATENATE("R2C",'Mapa final'!$T$20),"")</f>
        <v/>
      </c>
      <c r="R27" s="54" t="str">
        <f>IF(AND('Mapa final'!$AD$21="Media",'Mapa final'!$AF$21="Menor"),CONCATENATE("R2C",'Mapa final'!$T$21),"")</f>
        <v/>
      </c>
      <c r="S27" s="54" t="str">
        <f>IF(AND('Mapa final'!$AD$22="Media",'Mapa final'!$AF$22="Menor"),CONCATENATE("R2C",'Mapa final'!$T$22),"")</f>
        <v/>
      </c>
      <c r="T27" s="54" t="str">
        <f>IF(AND('Mapa final'!$AD$23="Media",'Mapa final'!$AF$23="Menor"),CONCATENATE("R2C",'Mapa final'!$T$23),"")</f>
        <v/>
      </c>
      <c r="U27" s="55" t="str">
        <f>IF(AND('Mapa final'!$AD$24="Media",'Mapa final'!$AF$24="Menor"),CONCATENATE("R2C",'Mapa final'!$T$24),"")</f>
        <v/>
      </c>
      <c r="V27" s="53" t="str">
        <f>IF(AND('Mapa final'!$AD$19="Media",'Mapa final'!$AF$19="Moderado"),CONCATENATE("R2C",'Mapa final'!$T$19),"")</f>
        <v/>
      </c>
      <c r="W27" s="54" t="str">
        <f>IF(AND('Mapa final'!$AD$20="Media",'Mapa final'!$AF$20="Moderado"),CONCATENATE("R2C",'Mapa final'!$T$20),"")</f>
        <v/>
      </c>
      <c r="X27" s="54" t="str">
        <f>IF(AND('Mapa final'!$AD$21="Media",'Mapa final'!$AF$21="Moderado"),CONCATENATE("R2C",'Mapa final'!$T$21),"")</f>
        <v/>
      </c>
      <c r="Y27" s="54" t="str">
        <f>IF(AND('Mapa final'!$AD$22="Media",'Mapa final'!$AF$22="Moderado"),CONCATENATE("R2C",'Mapa final'!$T$22),"")</f>
        <v/>
      </c>
      <c r="Z27" s="54" t="str">
        <f>IF(AND('Mapa final'!$AD$23="Media",'Mapa final'!$AF$23="Moderado"),CONCATENATE("R2C",'Mapa final'!$T$23),"")</f>
        <v/>
      </c>
      <c r="AA27" s="55" t="str">
        <f>IF(AND('Mapa final'!$AD$24="Media",'Mapa final'!$AF$24="Moderado"),CONCATENATE("R2C",'Mapa final'!$T$24),"")</f>
        <v/>
      </c>
      <c r="AB27" s="38" t="str">
        <f>IF(AND('Mapa final'!$AD$19="Media",'Mapa final'!$AF$19="Mayor"),CONCATENATE("R2C",'Mapa final'!$T$19),"")</f>
        <v>R2C1</v>
      </c>
      <c r="AC27" s="39" t="str">
        <f>IF(AND('Mapa final'!$AD$20="Media",'Mapa final'!$AF$20="Mayor"),CONCATENATE("R2C",'Mapa final'!$T$20),"")</f>
        <v/>
      </c>
      <c r="AD27" s="39" t="str">
        <f>IF(AND('Mapa final'!$AD$21="Media",'Mapa final'!$AF$21="Mayor"),CONCATENATE("R2C",'Mapa final'!$T$21),"")</f>
        <v/>
      </c>
      <c r="AE27" s="39" t="str">
        <f>IF(AND('Mapa final'!$AD$22="Media",'Mapa final'!$AF$22="Mayor"),CONCATENATE("R2C",'Mapa final'!$T$22),"")</f>
        <v/>
      </c>
      <c r="AF27" s="39" t="str">
        <f>IF(AND('Mapa final'!$AD$23="Media",'Mapa final'!$AF$23="Mayor"),CONCATENATE("R2C",'Mapa final'!$T$23),"")</f>
        <v/>
      </c>
      <c r="AG27" s="40" t="str">
        <f>IF(AND('Mapa final'!$AD$24="Media",'Mapa final'!$AF$24="Mayor"),CONCATENATE("R2C",'Mapa final'!$T$24),"")</f>
        <v/>
      </c>
      <c r="AH27" s="41" t="str">
        <f>IF(AND('Mapa final'!$AD$19="Media",'Mapa final'!$AF$19="Catastrófico"),CONCATENATE("R2C",'Mapa final'!$T$19),"")</f>
        <v/>
      </c>
      <c r="AI27" s="42" t="str">
        <f>IF(AND('Mapa final'!$AD$20="Media",'Mapa final'!$AF$20="Catastrófico"),CONCATENATE("R2C",'Mapa final'!$T$20),"")</f>
        <v/>
      </c>
      <c r="AJ27" s="42" t="str">
        <f>IF(AND('Mapa final'!$AD$21="Media",'Mapa final'!$AF$21="Catastrófico"),CONCATENATE("R2C",'Mapa final'!$T$21),"")</f>
        <v/>
      </c>
      <c r="AK27" s="42" t="str">
        <f>IF(AND('Mapa final'!$AD$22="Media",'Mapa final'!$AF$22="Catastrófico"),CONCATENATE("R2C",'Mapa final'!$T$22),"")</f>
        <v/>
      </c>
      <c r="AL27" s="42" t="str">
        <f>IF(AND('Mapa final'!$AD$23="Media",'Mapa final'!$AF$23="Catastrófico"),CONCATENATE("R2C",'Mapa final'!$T$23),"")</f>
        <v/>
      </c>
      <c r="AM27" s="43" t="str">
        <f>IF(AND('Mapa final'!$AD$24="Media",'Mapa final'!$AF$24="Catastrófico"),CONCATENATE("R2C",'Mapa final'!$T$24),"")</f>
        <v/>
      </c>
      <c r="AN27" s="69"/>
      <c r="AO27" s="527"/>
      <c r="AP27" s="528"/>
      <c r="AQ27" s="528"/>
      <c r="AR27" s="528"/>
      <c r="AS27" s="528"/>
      <c r="AT27" s="52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399"/>
      <c r="C28" s="399"/>
      <c r="D28" s="400"/>
      <c r="E28" s="498"/>
      <c r="F28" s="497"/>
      <c r="G28" s="497"/>
      <c r="H28" s="497"/>
      <c r="I28" s="513"/>
      <c r="J28" s="53" t="str">
        <f>IF(AND('Mapa final'!$AD$25="Media",'Mapa final'!$AF$25="Leve"),CONCATENATE("R3C",'Mapa final'!$T$25),"")</f>
        <v/>
      </c>
      <c r="K28" s="54" t="str">
        <f>IF(AND('Mapa final'!$AD$26="Media",'Mapa final'!$AF$26="Leve"),CONCATENATE("R3C",'Mapa final'!$T$26),"")</f>
        <v/>
      </c>
      <c r="L28" s="54" t="str">
        <f>IF(AND('Mapa final'!$AD$27="Media",'Mapa final'!$AF$27="Leve"),CONCATENATE("R3C",'Mapa final'!$T$27),"")</f>
        <v/>
      </c>
      <c r="M28" s="54" t="str">
        <f>IF(AND('Mapa final'!$AD$28="Media",'Mapa final'!$AF$28="Leve"),CONCATENATE("R3C",'Mapa final'!$T$28),"")</f>
        <v/>
      </c>
      <c r="N28" s="54" t="str">
        <f>IF(AND('Mapa final'!$AD$29="Media",'Mapa final'!$AF$29="Leve"),CONCATENATE("R3C",'Mapa final'!$T$29),"")</f>
        <v/>
      </c>
      <c r="O28" s="55" t="str">
        <f>IF(AND('Mapa final'!$AD$30="Media",'Mapa final'!$AF$30="Leve"),CONCATENATE("R3C",'Mapa final'!$T$30),"")</f>
        <v/>
      </c>
      <c r="P28" s="53" t="str">
        <f>IF(AND('Mapa final'!$AD$25="Media",'Mapa final'!$AF$25="Menor"),CONCATENATE("R3C",'Mapa final'!$T$25),"")</f>
        <v/>
      </c>
      <c r="Q28" s="54" t="str">
        <f>IF(AND('Mapa final'!$AD$26="Media",'Mapa final'!$AF$26="Menor"),CONCATENATE("R3C",'Mapa final'!$T$26),"")</f>
        <v/>
      </c>
      <c r="R28" s="54" t="str">
        <f>IF(AND('Mapa final'!$AD$27="Media",'Mapa final'!$AF$27="Menor"),CONCATENATE("R3C",'Mapa final'!$T$27),"")</f>
        <v/>
      </c>
      <c r="S28" s="54" t="str">
        <f>IF(AND('Mapa final'!$AD$28="Media",'Mapa final'!$AF$28="Menor"),CONCATENATE("R3C",'Mapa final'!$T$28),"")</f>
        <v/>
      </c>
      <c r="T28" s="54" t="str">
        <f>IF(AND('Mapa final'!$AD$29="Media",'Mapa final'!$AF$29="Menor"),CONCATENATE("R3C",'Mapa final'!$T$29),"")</f>
        <v/>
      </c>
      <c r="U28" s="55" t="str">
        <f>IF(AND('Mapa final'!$AD$30="Media",'Mapa final'!$AF$30="Menor"),CONCATENATE("R3C",'Mapa final'!$T$30),"")</f>
        <v/>
      </c>
      <c r="V28" s="53" t="str">
        <f>IF(AND('Mapa final'!$AD$25="Media",'Mapa final'!$AF$25="Moderado"),CONCATENATE("R3C",'Mapa final'!$T$25),"")</f>
        <v/>
      </c>
      <c r="W28" s="54" t="str">
        <f>IF(AND('Mapa final'!$AD$26="Media",'Mapa final'!$AF$26="Moderado"),CONCATENATE("R3C",'Mapa final'!$T$26),"")</f>
        <v/>
      </c>
      <c r="X28" s="54" t="str">
        <f>IF(AND('Mapa final'!$AD$27="Media",'Mapa final'!$AF$27="Moderado"),CONCATENATE("R3C",'Mapa final'!$T$27),"")</f>
        <v/>
      </c>
      <c r="Y28" s="54" t="str">
        <f>IF(AND('Mapa final'!$AD$28="Media",'Mapa final'!$AF$28="Moderado"),CONCATENATE("R3C",'Mapa final'!$T$28),"")</f>
        <v/>
      </c>
      <c r="Z28" s="54" t="str">
        <f>IF(AND('Mapa final'!$AD$29="Media",'Mapa final'!$AF$29="Moderado"),CONCATENATE("R3C",'Mapa final'!$T$29),"")</f>
        <v/>
      </c>
      <c r="AA28" s="55" t="str">
        <f>IF(AND('Mapa final'!$AD$30="Media",'Mapa final'!$AF$30="Moderado"),CONCATENATE("R3C",'Mapa final'!$T$30),"")</f>
        <v/>
      </c>
      <c r="AB28" s="38" t="str">
        <f>IF(AND('Mapa final'!$AD$25="Media",'Mapa final'!$AF$25="Mayor"),CONCATENATE("R3C",'Mapa final'!$T$25),"")</f>
        <v/>
      </c>
      <c r="AC28" s="39" t="str">
        <f>IF(AND('Mapa final'!$AD$26="Media",'Mapa final'!$AF$26="Mayor"),CONCATENATE("R3C",'Mapa final'!$T$26),"")</f>
        <v/>
      </c>
      <c r="AD28" s="39" t="str">
        <f>IF(AND('Mapa final'!$AD$27="Media",'Mapa final'!$AF$27="Mayor"),CONCATENATE("R3C",'Mapa final'!$T$27),"")</f>
        <v/>
      </c>
      <c r="AE28" s="39" t="str">
        <f>IF(AND('Mapa final'!$AD$28="Media",'Mapa final'!$AF$28="Mayor"),CONCATENATE("R3C",'Mapa final'!$T$28),"")</f>
        <v/>
      </c>
      <c r="AF28" s="39" t="str">
        <f>IF(AND('Mapa final'!$AD$29="Media",'Mapa final'!$AF$29="Mayor"),CONCATENATE("R3C",'Mapa final'!$T$29),"")</f>
        <v/>
      </c>
      <c r="AG28" s="40" t="str">
        <f>IF(AND('Mapa final'!$AD$30="Media",'Mapa final'!$AF$30="Mayor"),CONCATENATE("R3C",'Mapa final'!$T$30),"")</f>
        <v/>
      </c>
      <c r="AH28" s="41" t="str">
        <f>IF(AND('Mapa final'!$AD$25="Media",'Mapa final'!$AF$25="Catastrófico"),CONCATENATE("R3C",'Mapa final'!$T$25),"")</f>
        <v>R3C1</v>
      </c>
      <c r="AI28" s="42" t="str">
        <f>IF(AND('Mapa final'!$AD$26="Media",'Mapa final'!$AF$26="Catastrófico"),CONCATENATE("R3C",'Mapa final'!$T$26),"")</f>
        <v/>
      </c>
      <c r="AJ28" s="42" t="str">
        <f>IF(AND('Mapa final'!$AD$27="Media",'Mapa final'!$AF$27="Catastrófico"),CONCATENATE("R3C",'Mapa final'!$T$27),"")</f>
        <v/>
      </c>
      <c r="AK28" s="42" t="str">
        <f>IF(AND('Mapa final'!$AD$28="Media",'Mapa final'!$AF$28="Catastrófico"),CONCATENATE("R3C",'Mapa final'!$T$28),"")</f>
        <v/>
      </c>
      <c r="AL28" s="42" t="str">
        <f>IF(AND('Mapa final'!$AD$29="Media",'Mapa final'!$AF$29="Catastrófico"),CONCATENATE("R3C",'Mapa final'!$T$29),"")</f>
        <v/>
      </c>
      <c r="AM28" s="43" t="str">
        <f>IF(AND('Mapa final'!$AD$30="Media",'Mapa final'!$AF$30="Catastrófico"),CONCATENATE("R3C",'Mapa final'!$T$30),"")</f>
        <v/>
      </c>
      <c r="AN28" s="69"/>
      <c r="AO28" s="527"/>
      <c r="AP28" s="528"/>
      <c r="AQ28" s="528"/>
      <c r="AR28" s="528"/>
      <c r="AS28" s="528"/>
      <c r="AT28" s="52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399"/>
      <c r="C29" s="399"/>
      <c r="D29" s="400"/>
      <c r="E29" s="498"/>
      <c r="F29" s="497"/>
      <c r="G29" s="497"/>
      <c r="H29" s="497"/>
      <c r="I29" s="513"/>
      <c r="J29" s="53" t="str">
        <f>IF(AND('Mapa final'!$AD$31="Media",'Mapa final'!$AF$31="Leve"),CONCATENATE("R4C",'Mapa final'!$T$31),"")</f>
        <v/>
      </c>
      <c r="K29" s="54" t="str">
        <f>IF(AND('Mapa final'!$AD$32="Media",'Mapa final'!$AF$32="Leve"),CONCATENATE("R4C",'Mapa final'!$T$32),"")</f>
        <v/>
      </c>
      <c r="L29" s="54" t="str">
        <f>IF(AND('Mapa final'!$AD$33="Media",'Mapa final'!$AF$33="Leve"),CONCATENATE("R4C",'Mapa final'!$T$33),"")</f>
        <v/>
      </c>
      <c r="M29" s="54" t="str">
        <f>IF(AND('Mapa final'!$AD$34="Media",'Mapa final'!$AF$34="Leve"),CONCATENATE("R4C",'Mapa final'!$T$34),"")</f>
        <v/>
      </c>
      <c r="N29" s="54" t="str">
        <f>IF(AND('Mapa final'!$AD$35="Media",'Mapa final'!$AF$35="Leve"),CONCATENATE("R4C",'Mapa final'!$T$35),"")</f>
        <v/>
      </c>
      <c r="O29" s="55" t="str">
        <f>IF(AND('Mapa final'!$AD$36="Media",'Mapa final'!$AF$36="Leve"),CONCATENATE("R4C",'Mapa final'!$T$36),"")</f>
        <v/>
      </c>
      <c r="P29" s="53" t="str">
        <f>IF(AND('Mapa final'!$AD$31="Media",'Mapa final'!$AF$31="Menor"),CONCATENATE("R4C",'Mapa final'!$T$31),"")</f>
        <v/>
      </c>
      <c r="Q29" s="54" t="str">
        <f>IF(AND('Mapa final'!$AD$32="Media",'Mapa final'!$AF$32="Menor"),CONCATENATE("R4C",'Mapa final'!$T$32),"")</f>
        <v/>
      </c>
      <c r="R29" s="54" t="str">
        <f>IF(AND('Mapa final'!$AD$33="Media",'Mapa final'!$AF$33="Menor"),CONCATENATE("R4C",'Mapa final'!$T$33),"")</f>
        <v/>
      </c>
      <c r="S29" s="54" t="str">
        <f>IF(AND('Mapa final'!$AD$34="Media",'Mapa final'!$AF$34="Menor"),CONCATENATE("R4C",'Mapa final'!$T$34),"")</f>
        <v/>
      </c>
      <c r="T29" s="54" t="str">
        <f>IF(AND('Mapa final'!$AD$35="Media",'Mapa final'!$AF$35="Menor"),CONCATENATE("R4C",'Mapa final'!$T$35),"")</f>
        <v/>
      </c>
      <c r="U29" s="55" t="str">
        <f>IF(AND('Mapa final'!$AD$36="Media",'Mapa final'!$AF$36="Menor"),CONCATENATE("R4C",'Mapa final'!$T$36),"")</f>
        <v/>
      </c>
      <c r="V29" s="53" t="str">
        <f>IF(AND('Mapa final'!$AD$31="Media",'Mapa final'!$AF$31="Moderado"),CONCATENATE("R4C",'Mapa final'!$T$31),"")</f>
        <v/>
      </c>
      <c r="W29" s="54" t="str">
        <f>IF(AND('Mapa final'!$AD$32="Media",'Mapa final'!$AF$32="Moderado"),CONCATENATE("R4C",'Mapa final'!$T$32),"")</f>
        <v/>
      </c>
      <c r="X29" s="54" t="str">
        <f>IF(AND('Mapa final'!$AD$33="Media",'Mapa final'!$AF$33="Moderado"),CONCATENATE("R4C",'Mapa final'!$T$33),"")</f>
        <v/>
      </c>
      <c r="Y29" s="54" t="str">
        <f>IF(AND('Mapa final'!$AD$34="Media",'Mapa final'!$AF$34="Moderado"),CONCATENATE("R4C",'Mapa final'!$T$34),"")</f>
        <v/>
      </c>
      <c r="Z29" s="54" t="str">
        <f>IF(AND('Mapa final'!$AD$35="Media",'Mapa final'!$AF$35="Moderado"),CONCATENATE("R4C",'Mapa final'!$T$35),"")</f>
        <v/>
      </c>
      <c r="AA29" s="55" t="str">
        <f>IF(AND('Mapa final'!$AD$36="Media",'Mapa final'!$AF$36="Moderado"),CONCATENATE("R4C",'Mapa final'!$T$36),"")</f>
        <v/>
      </c>
      <c r="AB29" s="38" t="str">
        <f>IF(AND('Mapa final'!$AD$31="Media",'Mapa final'!$AF$31="Mayor"),CONCATENATE("R4C",'Mapa final'!$T$31),"")</f>
        <v/>
      </c>
      <c r="AC29" s="39" t="str">
        <f>IF(AND('Mapa final'!$AD$32="Media",'Mapa final'!$AF$32="Mayor"),CONCATENATE("R4C",'Mapa final'!$T$32),"")</f>
        <v/>
      </c>
      <c r="AD29" s="39" t="str">
        <f>IF(AND('Mapa final'!$AD$33="Media",'Mapa final'!$AF$33="Mayor"),CONCATENATE("R4C",'Mapa final'!$T$33),"")</f>
        <v/>
      </c>
      <c r="AE29" s="39" t="str">
        <f>IF(AND('Mapa final'!$AD$34="Media",'Mapa final'!$AF$34="Mayor"),CONCATENATE("R4C",'Mapa final'!$T$34),"")</f>
        <v/>
      </c>
      <c r="AF29" s="39" t="str">
        <f>IF(AND('Mapa final'!$AD$35="Media",'Mapa final'!$AF$35="Mayor"),CONCATENATE("R4C",'Mapa final'!$T$35),"")</f>
        <v/>
      </c>
      <c r="AG29" s="40" t="str">
        <f>IF(AND('Mapa final'!$AD$36="Media",'Mapa final'!$AF$36="Mayor"),CONCATENATE("R4C",'Mapa final'!$T$36),"")</f>
        <v/>
      </c>
      <c r="AH29" s="41" t="str">
        <f>IF(AND('Mapa final'!$AD$31="Media",'Mapa final'!$AF$31="Catastrófico"),CONCATENATE("R4C",'Mapa final'!$T$31),"")</f>
        <v>R4C1</v>
      </c>
      <c r="AI29" s="42" t="str">
        <f>IF(AND('Mapa final'!$AD$32="Media",'Mapa final'!$AF$32="Catastrófico"),CONCATENATE("R4C",'Mapa final'!$T$32),"")</f>
        <v/>
      </c>
      <c r="AJ29" s="42" t="str">
        <f>IF(AND('Mapa final'!$AD$33="Media",'Mapa final'!$AF$33="Catastrófico"),CONCATENATE("R4C",'Mapa final'!$T$33),"")</f>
        <v/>
      </c>
      <c r="AK29" s="42" t="str">
        <f>IF(AND('Mapa final'!$AD$34="Media",'Mapa final'!$AF$34="Catastrófico"),CONCATENATE("R4C",'Mapa final'!$T$34),"")</f>
        <v/>
      </c>
      <c r="AL29" s="42" t="str">
        <f>IF(AND('Mapa final'!$AD$35="Media",'Mapa final'!$AF$35="Catastrófico"),CONCATENATE("R4C",'Mapa final'!$T$35),"")</f>
        <v/>
      </c>
      <c r="AM29" s="43" t="str">
        <f>IF(AND('Mapa final'!$AD$36="Media",'Mapa final'!$AF$36="Catastrófico"),CONCATENATE("R4C",'Mapa final'!$T$36),"")</f>
        <v/>
      </c>
      <c r="AN29" s="69"/>
      <c r="AO29" s="527"/>
      <c r="AP29" s="528"/>
      <c r="AQ29" s="528"/>
      <c r="AR29" s="528"/>
      <c r="AS29" s="528"/>
      <c r="AT29" s="52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399"/>
      <c r="C30" s="399"/>
      <c r="D30" s="400"/>
      <c r="E30" s="498"/>
      <c r="F30" s="497"/>
      <c r="G30" s="497"/>
      <c r="H30" s="497"/>
      <c r="I30" s="513"/>
      <c r="J30" s="53" t="str">
        <f>IF(AND('Mapa final'!$AD$37="Media",'Mapa final'!$AF$37="Leve"),CONCATENATE("R5C",'Mapa final'!$T$37),"")</f>
        <v/>
      </c>
      <c r="K30" s="54" t="str">
        <f>IF(AND('Mapa final'!$AD$38="Media",'Mapa final'!$AF$38="Leve"),CONCATENATE("R5C",'Mapa final'!$T$38),"")</f>
        <v/>
      </c>
      <c r="L30" s="54" t="str">
        <f>IF(AND('Mapa final'!$AD$39="Media",'Mapa final'!$AF$39="Leve"),CONCATENATE("R5C",'Mapa final'!$T$39),"")</f>
        <v/>
      </c>
      <c r="M30" s="54" t="str">
        <f>IF(AND('Mapa final'!$AD$40="Media",'Mapa final'!$AF$40="Leve"),CONCATENATE("R5C",'Mapa final'!$T$40),"")</f>
        <v/>
      </c>
      <c r="N30" s="54" t="str">
        <f>IF(AND('Mapa final'!$AD$41="Media",'Mapa final'!$AF$41="Leve"),CONCATENATE("R5C",'Mapa final'!$T$41),"")</f>
        <v/>
      </c>
      <c r="O30" s="55" t="str">
        <f>IF(AND('Mapa final'!$AD$42="Media",'Mapa final'!$AF$42="Leve"),CONCATENATE("R5C",'Mapa final'!$T$42),"")</f>
        <v/>
      </c>
      <c r="P30" s="53" t="str">
        <f>IF(AND('Mapa final'!$AD$37="Media",'Mapa final'!$AF$37="Menor"),CONCATENATE("R5C",'Mapa final'!$T$37),"")</f>
        <v/>
      </c>
      <c r="Q30" s="54" t="str">
        <f>IF(AND('Mapa final'!$AD$38="Media",'Mapa final'!$AF$38="Menor"),CONCATENATE("R5C",'Mapa final'!$T$38),"")</f>
        <v/>
      </c>
      <c r="R30" s="54" t="str">
        <f>IF(AND('Mapa final'!$AD$39="Media",'Mapa final'!$AF$39="Menor"),CONCATENATE("R5C",'Mapa final'!$T$39),"")</f>
        <v/>
      </c>
      <c r="S30" s="54" t="str">
        <f>IF(AND('Mapa final'!$AD$40="Media",'Mapa final'!$AF$40="Menor"),CONCATENATE("R5C",'Mapa final'!$T$40),"")</f>
        <v/>
      </c>
      <c r="T30" s="54" t="str">
        <f>IF(AND('Mapa final'!$AD$41="Media",'Mapa final'!$AF$41="Menor"),CONCATENATE("R5C",'Mapa final'!$T$41),"")</f>
        <v/>
      </c>
      <c r="U30" s="55" t="str">
        <f>IF(AND('Mapa final'!$AD$42="Media",'Mapa final'!$AF$42="Menor"),CONCATENATE("R5C",'Mapa final'!$T$42),"")</f>
        <v/>
      </c>
      <c r="V30" s="53" t="str">
        <f>IF(AND('Mapa final'!$AD$37="Media",'Mapa final'!$AF$37="Moderado"),CONCATENATE("R5C",'Mapa final'!$T$37),"")</f>
        <v/>
      </c>
      <c r="W30" s="54" t="str">
        <f>IF(AND('Mapa final'!$AD$38="Media",'Mapa final'!$AF$38="Moderado"),CONCATENATE("R5C",'Mapa final'!$T$38),"")</f>
        <v/>
      </c>
      <c r="X30" s="54" t="str">
        <f>IF(AND('Mapa final'!$AD$39="Media",'Mapa final'!$AF$39="Moderado"),CONCATENATE("R5C",'Mapa final'!$T$39),"")</f>
        <v/>
      </c>
      <c r="Y30" s="54" t="str">
        <f>IF(AND('Mapa final'!$AD$40="Media",'Mapa final'!$AF$40="Moderado"),CONCATENATE("R5C",'Mapa final'!$T$40),"")</f>
        <v/>
      </c>
      <c r="Z30" s="54" t="str">
        <f>IF(AND('Mapa final'!$AD$41="Media",'Mapa final'!$AF$41="Moderado"),CONCATENATE("R5C",'Mapa final'!$T$41),"")</f>
        <v/>
      </c>
      <c r="AA30" s="55" t="str">
        <f>IF(AND('Mapa final'!$AD$42="Media",'Mapa final'!$AF$42="Moderado"),CONCATENATE("R5C",'Mapa final'!$T$42),"")</f>
        <v/>
      </c>
      <c r="AB30" s="38" t="str">
        <f>IF(AND('Mapa final'!$AD$37="Media",'Mapa final'!$AF$37="Mayor"),CONCATENATE("R5C",'Mapa final'!$T$37),"")</f>
        <v/>
      </c>
      <c r="AC30" s="39" t="str">
        <f>IF(AND('Mapa final'!$AD$38="Media",'Mapa final'!$AF$38="Mayor"),CONCATENATE("R5C",'Mapa final'!$T$38),"")</f>
        <v/>
      </c>
      <c r="AD30" s="39" t="str">
        <f>IF(AND('Mapa final'!$AD$39="Media",'Mapa final'!$AF$39="Mayor"),CONCATENATE("R5C",'Mapa final'!$T$39),"")</f>
        <v/>
      </c>
      <c r="AE30" s="39" t="str">
        <f>IF(AND('Mapa final'!$AD$40="Media",'Mapa final'!$AF$40="Mayor"),CONCATENATE("R5C",'Mapa final'!$T$40),"")</f>
        <v/>
      </c>
      <c r="AF30" s="39" t="str">
        <f>IF(AND('Mapa final'!$AD$41="Media",'Mapa final'!$AF$41="Mayor"),CONCATENATE("R5C",'Mapa final'!$T$41),"")</f>
        <v/>
      </c>
      <c r="AG30" s="40" t="str">
        <f>IF(AND('Mapa final'!$AD$42="Media",'Mapa final'!$AF$42="Mayor"),CONCATENATE("R5C",'Mapa final'!$T$42),"")</f>
        <v/>
      </c>
      <c r="AH30" s="41" t="str">
        <f>IF(AND('Mapa final'!$AD$37="Media",'Mapa final'!$AF$37="Catastrófico"),CONCATENATE("R5C",'Mapa final'!$T$37),"")</f>
        <v>R5C1</v>
      </c>
      <c r="AI30" s="42" t="str">
        <f>IF(AND('Mapa final'!$AD$38="Media",'Mapa final'!$AF$38="Catastrófico"),CONCATENATE("R5C",'Mapa final'!$T$38),"")</f>
        <v/>
      </c>
      <c r="AJ30" s="42" t="str">
        <f>IF(AND('Mapa final'!$AD$39="Media",'Mapa final'!$AF$39="Catastrófico"),CONCATENATE("R5C",'Mapa final'!$T$39),"")</f>
        <v/>
      </c>
      <c r="AK30" s="42" t="str">
        <f>IF(AND('Mapa final'!$AD$40="Media",'Mapa final'!$AF$40="Catastrófico"),CONCATENATE("R5C",'Mapa final'!$T$40),"")</f>
        <v/>
      </c>
      <c r="AL30" s="42" t="str">
        <f>IF(AND('Mapa final'!$AD$41="Media",'Mapa final'!$AF$41="Catastrófico"),CONCATENATE("R5C",'Mapa final'!$T$41),"")</f>
        <v/>
      </c>
      <c r="AM30" s="43" t="str">
        <f>IF(AND('Mapa final'!$AD$42="Media",'Mapa final'!$AF$42="Catastrófico"),CONCATENATE("R5C",'Mapa final'!$T$42),"")</f>
        <v/>
      </c>
      <c r="AN30" s="69"/>
      <c r="AO30" s="527"/>
      <c r="AP30" s="528"/>
      <c r="AQ30" s="528"/>
      <c r="AR30" s="528"/>
      <c r="AS30" s="528"/>
      <c r="AT30" s="52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399"/>
      <c r="C31" s="399"/>
      <c r="D31" s="400"/>
      <c r="E31" s="498"/>
      <c r="F31" s="497"/>
      <c r="G31" s="497"/>
      <c r="H31" s="497"/>
      <c r="I31" s="513"/>
      <c r="J31" s="53" t="str">
        <f>IF(AND('Mapa final'!$AD$43="Media",'Mapa final'!$AF$43="Leve"),CONCATENATE("R6C",'Mapa final'!$T$43),"")</f>
        <v/>
      </c>
      <c r="K31" s="54" t="str">
        <f>IF(AND('Mapa final'!$AD$44="Media",'Mapa final'!$AF$44="Leve"),CONCATENATE("R6C",'Mapa final'!$T$44),"")</f>
        <v/>
      </c>
      <c r="L31" s="54" t="str">
        <f>IF(AND('Mapa final'!$AD$45="Media",'Mapa final'!$AF$45="Leve"),CONCATENATE("R6C",'Mapa final'!$T$45),"")</f>
        <v/>
      </c>
      <c r="M31" s="54" t="str">
        <f>IF(AND('Mapa final'!$AD$46="Media",'Mapa final'!$AF$46="Leve"),CONCATENATE("R6C",'Mapa final'!$T$46),"")</f>
        <v/>
      </c>
      <c r="N31" s="54" t="str">
        <f>IF(AND('Mapa final'!$AD$47="Media",'Mapa final'!$AF$47="Leve"),CONCATENATE("R6C",'Mapa final'!$T$47),"")</f>
        <v/>
      </c>
      <c r="O31" s="55" t="str">
        <f>IF(AND('Mapa final'!$AD$48="Media",'Mapa final'!$AF$48="Leve"),CONCATENATE("R6C",'Mapa final'!$T$48),"")</f>
        <v/>
      </c>
      <c r="P31" s="53" t="str">
        <f>IF(AND('Mapa final'!$AD$43="Media",'Mapa final'!$AF$43="Menor"),CONCATENATE("R6C",'Mapa final'!$T$43),"")</f>
        <v/>
      </c>
      <c r="Q31" s="54" t="str">
        <f>IF(AND('Mapa final'!$AD$44="Media",'Mapa final'!$AF$44="Menor"),CONCATENATE("R6C",'Mapa final'!$T$44),"")</f>
        <v/>
      </c>
      <c r="R31" s="54" t="str">
        <f>IF(AND('Mapa final'!$AD$45="Media",'Mapa final'!$AF$45="Menor"),CONCATENATE("R6C",'Mapa final'!$T$45),"")</f>
        <v/>
      </c>
      <c r="S31" s="54" t="str">
        <f>IF(AND('Mapa final'!$AD$46="Media",'Mapa final'!$AF$46="Menor"),CONCATENATE("R6C",'Mapa final'!$T$46),"")</f>
        <v/>
      </c>
      <c r="T31" s="54" t="str">
        <f>IF(AND('Mapa final'!$AD$47="Media",'Mapa final'!$AF$47="Menor"),CONCATENATE("R6C",'Mapa final'!$T$47),"")</f>
        <v/>
      </c>
      <c r="U31" s="55" t="str">
        <f>IF(AND('Mapa final'!$AD$48="Media",'Mapa final'!$AF$48="Menor"),CONCATENATE("R6C",'Mapa final'!$T$48),"")</f>
        <v/>
      </c>
      <c r="V31" s="53" t="str">
        <f>IF(AND('Mapa final'!$AD$43="Media",'Mapa final'!$AF$43="Moderado"),CONCATENATE("R6C",'Mapa final'!$T$43),"")</f>
        <v/>
      </c>
      <c r="W31" s="54" t="str">
        <f>IF(AND('Mapa final'!$AD$44="Media",'Mapa final'!$AF$44="Moderado"),CONCATENATE("R6C",'Mapa final'!$T$44),"")</f>
        <v/>
      </c>
      <c r="X31" s="54" t="str">
        <f>IF(AND('Mapa final'!$AD$45="Media",'Mapa final'!$AF$45="Moderado"),CONCATENATE("R6C",'Mapa final'!$T$45),"")</f>
        <v/>
      </c>
      <c r="Y31" s="54" t="str">
        <f>IF(AND('Mapa final'!$AD$46="Media",'Mapa final'!$AF$46="Moderado"),CONCATENATE("R6C",'Mapa final'!$T$46),"")</f>
        <v/>
      </c>
      <c r="Z31" s="54" t="str">
        <f>IF(AND('Mapa final'!$AD$47="Media",'Mapa final'!$AF$47="Moderado"),CONCATENATE("R6C",'Mapa final'!$T$47),"")</f>
        <v/>
      </c>
      <c r="AA31" s="55" t="str">
        <f>IF(AND('Mapa final'!$AD$48="Media",'Mapa final'!$AF$48="Moderado"),CONCATENATE("R6C",'Mapa final'!$T$48),"")</f>
        <v/>
      </c>
      <c r="AB31" s="38" t="str">
        <f>IF(AND('Mapa final'!$AD$43="Media",'Mapa final'!$AF$43="Mayor"),CONCATENATE("R6C",'Mapa final'!$T$43),"")</f>
        <v/>
      </c>
      <c r="AC31" s="39" t="str">
        <f>IF(AND('Mapa final'!$AD$44="Media",'Mapa final'!$AF$44="Mayor"),CONCATENATE("R6C",'Mapa final'!$T$44),"")</f>
        <v/>
      </c>
      <c r="AD31" s="39" t="str">
        <f>IF(AND('Mapa final'!$AD$45="Media",'Mapa final'!$AF$45="Mayor"),CONCATENATE("R6C",'Mapa final'!$T$45),"")</f>
        <v/>
      </c>
      <c r="AE31" s="39" t="str">
        <f>IF(AND('Mapa final'!$AD$46="Media",'Mapa final'!$AF$46="Mayor"),CONCATENATE("R6C",'Mapa final'!$T$46),"")</f>
        <v/>
      </c>
      <c r="AF31" s="39" t="str">
        <f>IF(AND('Mapa final'!$AD$47="Media",'Mapa final'!$AF$47="Mayor"),CONCATENATE("R6C",'Mapa final'!$T$47),"")</f>
        <v/>
      </c>
      <c r="AG31" s="40" t="str">
        <f>IF(AND('Mapa final'!$AD$48="Media",'Mapa final'!$AF$48="Mayor"),CONCATENATE("R6C",'Mapa final'!$T$48),"")</f>
        <v/>
      </c>
      <c r="AH31" s="41" t="str">
        <f>IF(AND('Mapa final'!$AD$43="Media",'Mapa final'!$AF$43="Catastrófico"),CONCATENATE("R6C",'Mapa final'!$T$43),"")</f>
        <v/>
      </c>
      <c r="AI31" s="42" t="str">
        <f>IF(AND('Mapa final'!$AD$44="Media",'Mapa final'!$AF$44="Catastrófico"),CONCATENATE("R6C",'Mapa final'!$T$44),"")</f>
        <v/>
      </c>
      <c r="AJ31" s="42" t="str">
        <f>IF(AND('Mapa final'!$AD$45="Media",'Mapa final'!$AF$45="Catastrófico"),CONCATENATE("R6C",'Mapa final'!$T$45),"")</f>
        <v/>
      </c>
      <c r="AK31" s="42" t="str">
        <f>IF(AND('Mapa final'!$AD$46="Media",'Mapa final'!$AF$46="Catastrófico"),CONCATENATE("R6C",'Mapa final'!$T$46),"")</f>
        <v/>
      </c>
      <c r="AL31" s="42" t="str">
        <f>IF(AND('Mapa final'!$AD$47="Media",'Mapa final'!$AF$47="Catastrófico"),CONCATENATE("R6C",'Mapa final'!$T$47),"")</f>
        <v/>
      </c>
      <c r="AM31" s="43" t="str">
        <f>IF(AND('Mapa final'!$AD$48="Media",'Mapa final'!$AF$48="Catastrófico"),CONCATENATE("R6C",'Mapa final'!$T$48),"")</f>
        <v/>
      </c>
      <c r="AN31" s="69"/>
      <c r="AO31" s="527"/>
      <c r="AP31" s="528"/>
      <c r="AQ31" s="528"/>
      <c r="AR31" s="528"/>
      <c r="AS31" s="528"/>
      <c r="AT31" s="52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399"/>
      <c r="C32" s="399"/>
      <c r="D32" s="400"/>
      <c r="E32" s="498"/>
      <c r="F32" s="497"/>
      <c r="G32" s="497"/>
      <c r="H32" s="497"/>
      <c r="I32" s="513"/>
      <c r="J32" s="53" t="str">
        <f>IF(AND('Mapa final'!$AD$49="Media",'Mapa final'!$AF$49="Leve"),CONCATENATE("R7C",'Mapa final'!$T$49),"")</f>
        <v/>
      </c>
      <c r="K32" s="54" t="str">
        <f>IF(AND('Mapa final'!$AD$50="Media",'Mapa final'!$AF$50="Leve"),CONCATENATE("R7C",'Mapa final'!$T$50),"")</f>
        <v/>
      </c>
      <c r="L32" s="54" t="str">
        <f>IF(AND('Mapa final'!$AD$51="Media",'Mapa final'!$AF$51="Leve"),CONCATENATE("R7C",'Mapa final'!$T$51),"")</f>
        <v/>
      </c>
      <c r="M32" s="54" t="str">
        <f>IF(AND('Mapa final'!$AD$52="Media",'Mapa final'!$AF$52="Leve"),CONCATENATE("R7C",'Mapa final'!$T$52),"")</f>
        <v/>
      </c>
      <c r="N32" s="54" t="str">
        <f>IF(AND('Mapa final'!$AD$53="Media",'Mapa final'!$AF$53="Leve"),CONCATENATE("R7C",'Mapa final'!$T$53),"")</f>
        <v/>
      </c>
      <c r="O32" s="55" t="str">
        <f>IF(AND('Mapa final'!$AD$54="Media",'Mapa final'!$AF$54="Leve"),CONCATENATE("R7C",'Mapa final'!$T$54),"")</f>
        <v/>
      </c>
      <c r="P32" s="53" t="str">
        <f>IF(AND('Mapa final'!$AD$49="Media",'Mapa final'!$AF$49="Menor"),CONCATENATE("R7C",'Mapa final'!$T$49),"")</f>
        <v/>
      </c>
      <c r="Q32" s="54" t="str">
        <f>IF(AND('Mapa final'!$AD$50="Media",'Mapa final'!$AF$50="Menor"),CONCATENATE("R7C",'Mapa final'!$T$50),"")</f>
        <v/>
      </c>
      <c r="R32" s="54" t="str">
        <f>IF(AND('Mapa final'!$AD$51="Media",'Mapa final'!$AF$51="Menor"),CONCATENATE("R7C",'Mapa final'!$T$51),"")</f>
        <v/>
      </c>
      <c r="S32" s="54" t="str">
        <f>IF(AND('Mapa final'!$AD$52="Media",'Mapa final'!$AF$52="Menor"),CONCATENATE("R7C",'Mapa final'!$T$52),"")</f>
        <v/>
      </c>
      <c r="T32" s="54" t="str">
        <f>IF(AND('Mapa final'!$AD$53="Media",'Mapa final'!$AF$53="Menor"),CONCATENATE("R7C",'Mapa final'!$T$53),"")</f>
        <v/>
      </c>
      <c r="U32" s="55" t="str">
        <f>IF(AND('Mapa final'!$AD$54="Media",'Mapa final'!$AF$54="Menor"),CONCATENATE("R7C",'Mapa final'!$T$54),"")</f>
        <v/>
      </c>
      <c r="V32" s="53" t="str">
        <f>IF(AND('Mapa final'!$AD$49="Media",'Mapa final'!$AF$49="Moderado"),CONCATENATE("R7C",'Mapa final'!$T$49),"")</f>
        <v/>
      </c>
      <c r="W32" s="54" t="str">
        <f>IF(AND('Mapa final'!$AD$50="Media",'Mapa final'!$AF$50="Moderado"),CONCATENATE("R7C",'Mapa final'!$T$50),"")</f>
        <v/>
      </c>
      <c r="X32" s="54" t="str">
        <f>IF(AND('Mapa final'!$AD$51="Media",'Mapa final'!$AF$51="Moderado"),CONCATENATE("R7C",'Mapa final'!$T$51),"")</f>
        <v/>
      </c>
      <c r="Y32" s="54" t="str">
        <f>IF(AND('Mapa final'!$AD$52="Media",'Mapa final'!$AF$52="Moderado"),CONCATENATE("R7C",'Mapa final'!$T$52),"")</f>
        <v/>
      </c>
      <c r="Z32" s="54" t="str">
        <f>IF(AND('Mapa final'!$AD$53="Media",'Mapa final'!$AF$53="Moderado"),CONCATENATE("R7C",'Mapa final'!$T$53),"")</f>
        <v/>
      </c>
      <c r="AA32" s="55" t="str">
        <f>IF(AND('Mapa final'!$AD$54="Media",'Mapa final'!$AF$54="Moderado"),CONCATENATE("R7C",'Mapa final'!$T$54),"")</f>
        <v/>
      </c>
      <c r="AB32" s="38" t="str">
        <f>IF(AND('Mapa final'!$AD$49="Media",'Mapa final'!$AF$49="Mayor"),CONCATENATE("R7C",'Mapa final'!$T$49),"")</f>
        <v/>
      </c>
      <c r="AC32" s="39" t="str">
        <f>IF(AND('Mapa final'!$AD$50="Media",'Mapa final'!$AF$50="Mayor"),CONCATENATE("R7C",'Mapa final'!$T$50),"")</f>
        <v/>
      </c>
      <c r="AD32" s="39" t="str">
        <f>IF(AND('Mapa final'!$AD$51="Media",'Mapa final'!$AF$51="Mayor"),CONCATENATE("R7C",'Mapa final'!$T$51),"")</f>
        <v/>
      </c>
      <c r="AE32" s="39" t="str">
        <f>IF(AND('Mapa final'!$AD$52="Media",'Mapa final'!$AF$52="Mayor"),CONCATENATE("R7C",'Mapa final'!$T$52),"")</f>
        <v/>
      </c>
      <c r="AF32" s="39" t="str">
        <f>IF(AND('Mapa final'!$AD$53="Media",'Mapa final'!$AF$53="Mayor"),CONCATENATE("R7C",'Mapa final'!$T$53),"")</f>
        <v/>
      </c>
      <c r="AG32" s="40" t="str">
        <f>IF(AND('Mapa final'!$AD$54="Media",'Mapa final'!$AF$54="Mayor"),CONCATENATE("R7C",'Mapa final'!$T$54),"")</f>
        <v/>
      </c>
      <c r="AH32" s="41" t="str">
        <f>IF(AND('Mapa final'!$AD$49="Media",'Mapa final'!$AF$49="Catastrófico"),CONCATENATE("R7C",'Mapa final'!$T$49),"")</f>
        <v/>
      </c>
      <c r="AI32" s="42" t="str">
        <f>IF(AND('Mapa final'!$AD$50="Media",'Mapa final'!$AF$50="Catastrófico"),CONCATENATE("R7C",'Mapa final'!$T$50),"")</f>
        <v/>
      </c>
      <c r="AJ32" s="42" t="str">
        <f>IF(AND('Mapa final'!$AD$51="Media",'Mapa final'!$AF$51="Catastrófico"),CONCATENATE("R7C",'Mapa final'!$T$51),"")</f>
        <v/>
      </c>
      <c r="AK32" s="42" t="str">
        <f>IF(AND('Mapa final'!$AD$52="Media",'Mapa final'!$AF$52="Catastrófico"),CONCATENATE("R7C",'Mapa final'!$T$52),"")</f>
        <v/>
      </c>
      <c r="AL32" s="42" t="str">
        <f>IF(AND('Mapa final'!$AD$53="Media",'Mapa final'!$AF$53="Catastrófico"),CONCATENATE("R7C",'Mapa final'!$T$53),"")</f>
        <v/>
      </c>
      <c r="AM32" s="43" t="str">
        <f>IF(AND('Mapa final'!$AD$54="Media",'Mapa final'!$AF$54="Catastrófico"),CONCATENATE("R7C",'Mapa final'!$T$54),"")</f>
        <v/>
      </c>
      <c r="AN32" s="69"/>
      <c r="AO32" s="527"/>
      <c r="AP32" s="528"/>
      <c r="AQ32" s="528"/>
      <c r="AR32" s="528"/>
      <c r="AS32" s="528"/>
      <c r="AT32" s="52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399"/>
      <c r="C33" s="399"/>
      <c r="D33" s="400"/>
      <c r="E33" s="498"/>
      <c r="F33" s="497"/>
      <c r="G33" s="497"/>
      <c r="H33" s="497"/>
      <c r="I33" s="513"/>
      <c r="J33" s="53" t="str">
        <f>IF(AND('Mapa final'!$AD$55="Media",'Mapa final'!$AF$55="Leve"),CONCATENATE("R8C",'Mapa final'!$T$55),"")</f>
        <v/>
      </c>
      <c r="K33" s="54" t="str">
        <f>IF(AND('Mapa final'!$AD$56="Media",'Mapa final'!$AF$56="Leve"),CONCATENATE("R8C",'Mapa final'!$T$56),"")</f>
        <v/>
      </c>
      <c r="L33" s="54" t="str">
        <f>IF(AND('Mapa final'!$AD$57="Media",'Mapa final'!$AF$57="Leve"),CONCATENATE("R8C",'Mapa final'!$T$57),"")</f>
        <v/>
      </c>
      <c r="M33" s="54" t="str">
        <f>IF(AND('Mapa final'!$AD$58="Media",'Mapa final'!$AF$58="Leve"),CONCATENATE("R8C",'Mapa final'!$T$58),"")</f>
        <v/>
      </c>
      <c r="N33" s="54" t="str">
        <f>IF(AND('Mapa final'!$AD$59="Media",'Mapa final'!$AF$59="Leve"),CONCATENATE("R8C",'Mapa final'!$T$59),"")</f>
        <v/>
      </c>
      <c r="O33" s="55" t="str">
        <f>IF(AND('Mapa final'!$AD$60="Media",'Mapa final'!$AF$60="Leve"),CONCATENATE("R8C",'Mapa final'!$T$60),"")</f>
        <v/>
      </c>
      <c r="P33" s="53" t="str">
        <f>IF(AND('Mapa final'!$AD$55="Media",'Mapa final'!$AF$55="Menor"),CONCATENATE("R8C",'Mapa final'!$T$55),"")</f>
        <v/>
      </c>
      <c r="Q33" s="54" t="str">
        <f>IF(AND('Mapa final'!$AD$56="Media",'Mapa final'!$AF$56="Menor"),CONCATENATE("R8C",'Mapa final'!$T$56),"")</f>
        <v/>
      </c>
      <c r="R33" s="54" t="str">
        <f>IF(AND('Mapa final'!$AD$57="Media",'Mapa final'!$AF$57="Menor"),CONCATENATE("R8C",'Mapa final'!$T$57),"")</f>
        <v/>
      </c>
      <c r="S33" s="54" t="str">
        <f>IF(AND('Mapa final'!$AD$58="Media",'Mapa final'!$AF$58="Menor"),CONCATENATE("R8C",'Mapa final'!$T$58),"")</f>
        <v/>
      </c>
      <c r="T33" s="54" t="str">
        <f>IF(AND('Mapa final'!$AD$59="Media",'Mapa final'!$AF$59="Menor"),CONCATENATE("R8C",'Mapa final'!$T$59),"")</f>
        <v/>
      </c>
      <c r="U33" s="55" t="str">
        <f>IF(AND('Mapa final'!$AD$60="Media",'Mapa final'!$AF$60="Menor"),CONCATENATE("R8C",'Mapa final'!$T$60),"")</f>
        <v/>
      </c>
      <c r="V33" s="53" t="str">
        <f>IF(AND('Mapa final'!$AD$55="Media",'Mapa final'!$AF$55="Moderado"),CONCATENATE("R8C",'Mapa final'!$T$55),"")</f>
        <v/>
      </c>
      <c r="W33" s="54" t="str">
        <f>IF(AND('Mapa final'!$AD$56="Media",'Mapa final'!$AF$56="Moderado"),CONCATENATE("R8C",'Mapa final'!$T$56),"")</f>
        <v/>
      </c>
      <c r="X33" s="54" t="str">
        <f>IF(AND('Mapa final'!$AD$57="Media",'Mapa final'!$AF$57="Moderado"),CONCATENATE("R8C",'Mapa final'!$T$57),"")</f>
        <v/>
      </c>
      <c r="Y33" s="54" t="str">
        <f>IF(AND('Mapa final'!$AD$58="Media",'Mapa final'!$AF$58="Moderado"),CONCATENATE("R8C",'Mapa final'!$T$58),"")</f>
        <v/>
      </c>
      <c r="Z33" s="54" t="str">
        <f>IF(AND('Mapa final'!$AD$59="Media",'Mapa final'!$AF$59="Moderado"),CONCATENATE("R8C",'Mapa final'!$T$59),"")</f>
        <v/>
      </c>
      <c r="AA33" s="55" t="str">
        <f>IF(AND('Mapa final'!$AD$60="Media",'Mapa final'!$AF$60="Moderado"),CONCATENATE("R8C",'Mapa final'!$T$60),"")</f>
        <v/>
      </c>
      <c r="AB33" s="38" t="str">
        <f>IF(AND('Mapa final'!$AD$55="Media",'Mapa final'!$AF$55="Mayor"),CONCATENATE("R8C",'Mapa final'!$T$55),"")</f>
        <v/>
      </c>
      <c r="AC33" s="39" t="str">
        <f>IF(AND('Mapa final'!$AD$56="Media",'Mapa final'!$AF$56="Mayor"),CONCATENATE("R8C",'Mapa final'!$T$56),"")</f>
        <v/>
      </c>
      <c r="AD33" s="39" t="str">
        <f>IF(AND('Mapa final'!$AD$57="Media",'Mapa final'!$AF$57="Mayor"),CONCATENATE("R8C",'Mapa final'!$T$57),"")</f>
        <v/>
      </c>
      <c r="AE33" s="39" t="str">
        <f>IF(AND('Mapa final'!$AD$58="Media",'Mapa final'!$AF$58="Mayor"),CONCATENATE("R8C",'Mapa final'!$T$58),"")</f>
        <v/>
      </c>
      <c r="AF33" s="39" t="str">
        <f>IF(AND('Mapa final'!$AD$59="Media",'Mapa final'!$AF$59="Mayor"),CONCATENATE("R8C",'Mapa final'!$T$59),"")</f>
        <v/>
      </c>
      <c r="AG33" s="40" t="str">
        <f>IF(AND('Mapa final'!$AD$60="Media",'Mapa final'!$AF$60="Mayor"),CONCATENATE("R8C",'Mapa final'!$T$60),"")</f>
        <v/>
      </c>
      <c r="AH33" s="41" t="str">
        <f>IF(AND('Mapa final'!$AD$55="Media",'Mapa final'!$AF$55="Catastrófico"),CONCATENATE("R8C",'Mapa final'!$T$55),"")</f>
        <v/>
      </c>
      <c r="AI33" s="42" t="str">
        <f>IF(AND('Mapa final'!$AD$56="Media",'Mapa final'!$AF$56="Catastrófico"),CONCATENATE("R8C",'Mapa final'!$T$56),"")</f>
        <v/>
      </c>
      <c r="AJ33" s="42" t="str">
        <f>IF(AND('Mapa final'!$AD$57="Media",'Mapa final'!$AF$57="Catastrófico"),CONCATENATE("R8C",'Mapa final'!$T$57),"")</f>
        <v/>
      </c>
      <c r="AK33" s="42" t="str">
        <f>IF(AND('Mapa final'!$AD$58="Media",'Mapa final'!$AF$58="Catastrófico"),CONCATENATE("R8C",'Mapa final'!$T$58),"")</f>
        <v/>
      </c>
      <c r="AL33" s="42" t="str">
        <f>IF(AND('Mapa final'!$AD$59="Media",'Mapa final'!$AF$59="Catastrófico"),CONCATENATE("R8C",'Mapa final'!$T$59),"")</f>
        <v/>
      </c>
      <c r="AM33" s="43" t="str">
        <f>IF(AND('Mapa final'!$AD$60="Media",'Mapa final'!$AF$60="Catastrófico"),CONCATENATE("R8C",'Mapa final'!$T$60),"")</f>
        <v/>
      </c>
      <c r="AN33" s="69"/>
      <c r="AO33" s="527"/>
      <c r="AP33" s="528"/>
      <c r="AQ33" s="528"/>
      <c r="AR33" s="528"/>
      <c r="AS33" s="528"/>
      <c r="AT33" s="52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399"/>
      <c r="C34" s="399"/>
      <c r="D34" s="400"/>
      <c r="E34" s="498"/>
      <c r="F34" s="497"/>
      <c r="G34" s="497"/>
      <c r="H34" s="497"/>
      <c r="I34" s="513"/>
      <c r="J34" s="53" t="str">
        <f>IF(AND('Mapa final'!$AD$61="Media",'Mapa final'!$AF$61="Leve"),CONCATENATE("R9C",'Mapa final'!$T$61),"")</f>
        <v/>
      </c>
      <c r="K34" s="54" t="str">
        <f>IF(AND('Mapa final'!$AD$62="Media",'Mapa final'!$AF$62="Leve"),CONCATENATE("R9C",'Mapa final'!$T$62),"")</f>
        <v/>
      </c>
      <c r="L34" s="54" t="str">
        <f>IF(AND('Mapa final'!$AD$63="Media",'Mapa final'!$AF$63="Leve"),CONCATENATE("R9C",'Mapa final'!$T$63),"")</f>
        <v/>
      </c>
      <c r="M34" s="54" t="str">
        <f>IF(AND('Mapa final'!$AD$64="Media",'Mapa final'!$AF$64="Leve"),CONCATENATE("R9C",'Mapa final'!$T$64),"")</f>
        <v/>
      </c>
      <c r="N34" s="54" t="str">
        <f>IF(AND('Mapa final'!$AD$65="Media",'Mapa final'!$AF$65="Leve"),CONCATENATE("R9C",'Mapa final'!$T$65),"")</f>
        <v/>
      </c>
      <c r="O34" s="55" t="str">
        <f>IF(AND('Mapa final'!$AD$66="Media",'Mapa final'!$AF$66="Leve"),CONCATENATE("R9C",'Mapa final'!$T$66),"")</f>
        <v/>
      </c>
      <c r="P34" s="53" t="str">
        <f>IF(AND('Mapa final'!$AD$61="Media",'Mapa final'!$AF$61="Menor"),CONCATENATE("R9C",'Mapa final'!$T$61),"")</f>
        <v/>
      </c>
      <c r="Q34" s="54" t="str">
        <f>IF(AND('Mapa final'!$AD$62="Media",'Mapa final'!$AF$62="Menor"),CONCATENATE("R9C",'Mapa final'!$T$62),"")</f>
        <v/>
      </c>
      <c r="R34" s="54" t="str">
        <f>IF(AND('Mapa final'!$AD$63="Media",'Mapa final'!$AF$63="Menor"),CONCATENATE("R9C",'Mapa final'!$T$63),"")</f>
        <v/>
      </c>
      <c r="S34" s="54" t="str">
        <f>IF(AND('Mapa final'!$AD$64="Media",'Mapa final'!$AF$64="Menor"),CONCATENATE("R9C",'Mapa final'!$T$64),"")</f>
        <v/>
      </c>
      <c r="T34" s="54" t="str">
        <f>IF(AND('Mapa final'!$AD$65="Media",'Mapa final'!$AF$65="Menor"),CONCATENATE("R9C",'Mapa final'!$T$65),"")</f>
        <v/>
      </c>
      <c r="U34" s="55" t="str">
        <f>IF(AND('Mapa final'!$AD$66="Media",'Mapa final'!$AF$66="Menor"),CONCATENATE("R9C",'Mapa final'!$T$66),"")</f>
        <v/>
      </c>
      <c r="V34" s="53" t="str">
        <f>IF(AND('Mapa final'!$AD$61="Media",'Mapa final'!$AF$61="Moderado"),CONCATENATE("R9C",'Mapa final'!$T$61),"")</f>
        <v/>
      </c>
      <c r="W34" s="54" t="str">
        <f>IF(AND('Mapa final'!$AD$62="Media",'Mapa final'!$AF$62="Moderado"),CONCATENATE("R9C",'Mapa final'!$T$62),"")</f>
        <v/>
      </c>
      <c r="X34" s="54" t="str">
        <f>IF(AND('Mapa final'!$AD$63="Media",'Mapa final'!$AF$63="Moderado"),CONCATENATE("R9C",'Mapa final'!$T$63),"")</f>
        <v/>
      </c>
      <c r="Y34" s="54" t="str">
        <f>IF(AND('Mapa final'!$AD$64="Media",'Mapa final'!$AF$64="Moderado"),CONCATENATE("R9C",'Mapa final'!$T$64),"")</f>
        <v/>
      </c>
      <c r="Z34" s="54" t="str">
        <f>IF(AND('Mapa final'!$AD$65="Media",'Mapa final'!$AF$65="Moderado"),CONCATENATE("R9C",'Mapa final'!$T$65),"")</f>
        <v/>
      </c>
      <c r="AA34" s="55" t="str">
        <f>IF(AND('Mapa final'!$AD$66="Media",'Mapa final'!$AF$66="Moderado"),CONCATENATE("R9C",'Mapa final'!$T$66),"")</f>
        <v/>
      </c>
      <c r="AB34" s="38" t="str">
        <f>IF(AND('Mapa final'!$AD$61="Media",'Mapa final'!$AF$61="Mayor"),CONCATENATE("R9C",'Mapa final'!$T$61),"")</f>
        <v/>
      </c>
      <c r="AC34" s="39" t="str">
        <f>IF(AND('Mapa final'!$AD$62="Media",'Mapa final'!$AF$62="Mayor"),CONCATENATE("R9C",'Mapa final'!$T$62),"")</f>
        <v/>
      </c>
      <c r="AD34" s="39" t="str">
        <f>IF(AND('Mapa final'!$AD$63="Media",'Mapa final'!$AF$63="Mayor"),CONCATENATE("R9C",'Mapa final'!$T$63),"")</f>
        <v/>
      </c>
      <c r="AE34" s="39" t="str">
        <f>IF(AND('Mapa final'!$AD$64="Media",'Mapa final'!$AF$64="Mayor"),CONCATENATE("R9C",'Mapa final'!$T$64),"")</f>
        <v/>
      </c>
      <c r="AF34" s="39" t="str">
        <f>IF(AND('Mapa final'!$AD$65="Media",'Mapa final'!$AF$65="Mayor"),CONCATENATE("R9C",'Mapa final'!$T$65),"")</f>
        <v/>
      </c>
      <c r="AG34" s="40" t="str">
        <f>IF(AND('Mapa final'!$AD$66="Media",'Mapa final'!$AF$66="Mayor"),CONCATENATE("R9C",'Mapa final'!$T$66),"")</f>
        <v/>
      </c>
      <c r="AH34" s="41" t="str">
        <f>IF(AND('Mapa final'!$AD$61="Media",'Mapa final'!$AF$61="Catastrófico"),CONCATENATE("R9C",'Mapa final'!$T$61),"")</f>
        <v/>
      </c>
      <c r="AI34" s="42" t="str">
        <f>IF(AND('Mapa final'!$AD$62="Media",'Mapa final'!$AF$62="Catastrófico"),CONCATENATE("R9C",'Mapa final'!$T$62),"")</f>
        <v/>
      </c>
      <c r="AJ34" s="42" t="str">
        <f>IF(AND('Mapa final'!$AD$63="Media",'Mapa final'!$AF$63="Catastrófico"),CONCATENATE("R9C",'Mapa final'!$T$63),"")</f>
        <v/>
      </c>
      <c r="AK34" s="42" t="str">
        <f>IF(AND('Mapa final'!$AD$64="Media",'Mapa final'!$AF$64="Catastrófico"),CONCATENATE("R9C",'Mapa final'!$T$64),"")</f>
        <v/>
      </c>
      <c r="AL34" s="42" t="str">
        <f>IF(AND('Mapa final'!$AD$65="Media",'Mapa final'!$AF$65="Catastrófico"),CONCATENATE("R9C",'Mapa final'!$T$65),"")</f>
        <v/>
      </c>
      <c r="AM34" s="43" t="str">
        <f>IF(AND('Mapa final'!$AD$66="Media",'Mapa final'!$AF$66="Catastrófico"),CONCATENATE("R9C",'Mapa final'!$T$66),"")</f>
        <v/>
      </c>
      <c r="AN34" s="69"/>
      <c r="AO34" s="527"/>
      <c r="AP34" s="528"/>
      <c r="AQ34" s="528"/>
      <c r="AR34" s="528"/>
      <c r="AS34" s="528"/>
      <c r="AT34" s="52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399"/>
      <c r="C35" s="399"/>
      <c r="D35" s="400"/>
      <c r="E35" s="499"/>
      <c r="F35" s="500"/>
      <c r="G35" s="500"/>
      <c r="H35" s="500"/>
      <c r="I35" s="514"/>
      <c r="J35" s="53" t="str">
        <f>IF(AND('Mapa final'!$AD$67="Media",'Mapa final'!$AF$67="Leve"),CONCATENATE("R10C",'Mapa final'!$T$67),"")</f>
        <v/>
      </c>
      <c r="K35" s="54" t="str">
        <f>IF(AND('Mapa final'!$AD$68="Media",'Mapa final'!$AF$68="Leve"),CONCATENATE("R10C",'Mapa final'!$T$68),"")</f>
        <v/>
      </c>
      <c r="L35" s="54" t="str">
        <f>IF(AND('Mapa final'!$AD$69="Media",'Mapa final'!$AF$69="Leve"),CONCATENATE("R10C",'Mapa final'!$T$69),"")</f>
        <v/>
      </c>
      <c r="M35" s="54" t="str">
        <f>IF(AND('Mapa final'!$AD$70="Media",'Mapa final'!$AF$70="Leve"),CONCATENATE("R10C",'Mapa final'!$T$70),"")</f>
        <v/>
      </c>
      <c r="N35" s="54" t="str">
        <f>IF(AND('Mapa final'!$AD$71="Media",'Mapa final'!$AF$71="Leve"),CONCATENATE("R10C",'Mapa final'!$T$71),"")</f>
        <v/>
      </c>
      <c r="O35" s="55" t="str">
        <f>IF(AND('Mapa final'!$AD$72="Media",'Mapa final'!$AF$72="Leve"),CONCATENATE("R10C",'Mapa final'!$T$72),"")</f>
        <v/>
      </c>
      <c r="P35" s="53" t="str">
        <f>IF(AND('Mapa final'!$AD$67="Media",'Mapa final'!$AF$67="Menor"),CONCATENATE("R10C",'Mapa final'!$T$67),"")</f>
        <v/>
      </c>
      <c r="Q35" s="54" t="str">
        <f>IF(AND('Mapa final'!$AD$68="Media",'Mapa final'!$AF$68="Menor"),CONCATENATE("R10C",'Mapa final'!$T$68),"")</f>
        <v/>
      </c>
      <c r="R35" s="54" t="str">
        <f>IF(AND('Mapa final'!$AD$69="Media",'Mapa final'!$AF$69="Menor"),CONCATENATE("R10C",'Mapa final'!$T$69),"")</f>
        <v/>
      </c>
      <c r="S35" s="54" t="str">
        <f>IF(AND('Mapa final'!$AD$70="Media",'Mapa final'!$AF$70="Menor"),CONCATENATE("R10C",'Mapa final'!$T$70),"")</f>
        <v/>
      </c>
      <c r="T35" s="54" t="str">
        <f>IF(AND('Mapa final'!$AD$71="Media",'Mapa final'!$AF$71="Menor"),CONCATENATE("R10C",'Mapa final'!$T$71),"")</f>
        <v/>
      </c>
      <c r="U35" s="55" t="str">
        <f>IF(AND('Mapa final'!$AD$72="Media",'Mapa final'!$AF$72="Menor"),CONCATENATE("R10C",'Mapa final'!$T$72),"")</f>
        <v/>
      </c>
      <c r="V35" s="53" t="str">
        <f>IF(AND('Mapa final'!$AD$67="Media",'Mapa final'!$AF$67="Moderado"),CONCATENATE("R10C",'Mapa final'!$T$67),"")</f>
        <v/>
      </c>
      <c r="W35" s="54" t="str">
        <f>IF(AND('Mapa final'!$AD$68="Media",'Mapa final'!$AF$68="Moderado"),CONCATENATE("R10C",'Mapa final'!$T$68),"")</f>
        <v/>
      </c>
      <c r="X35" s="54" t="str">
        <f>IF(AND('Mapa final'!$AD$69="Media",'Mapa final'!$AF$69="Moderado"),CONCATENATE("R10C",'Mapa final'!$T$69),"")</f>
        <v/>
      </c>
      <c r="Y35" s="54" t="str">
        <f>IF(AND('Mapa final'!$AD$70="Media",'Mapa final'!$AF$70="Moderado"),CONCATENATE("R10C",'Mapa final'!$T$70),"")</f>
        <v/>
      </c>
      <c r="Z35" s="54" t="str">
        <f>IF(AND('Mapa final'!$AD$71="Media",'Mapa final'!$AF$71="Moderado"),CONCATENATE("R10C",'Mapa final'!$T$71),"")</f>
        <v/>
      </c>
      <c r="AA35" s="55" t="str">
        <f>IF(AND('Mapa final'!$AD$72="Media",'Mapa final'!$AF$72="Moderado"),CONCATENATE("R10C",'Mapa final'!$T$72),"")</f>
        <v/>
      </c>
      <c r="AB35" s="44" t="str">
        <f>IF(AND('Mapa final'!$AD$67="Media",'Mapa final'!$AF$67="Mayor"),CONCATENATE("R10C",'Mapa final'!$T$67),"")</f>
        <v/>
      </c>
      <c r="AC35" s="45" t="str">
        <f>IF(AND('Mapa final'!$AD$68="Media",'Mapa final'!$AF$68="Mayor"),CONCATENATE("R10C",'Mapa final'!$T$68),"")</f>
        <v/>
      </c>
      <c r="AD35" s="45" t="str">
        <f>IF(AND('Mapa final'!$AD$69="Media",'Mapa final'!$AF$69="Mayor"),CONCATENATE("R10C",'Mapa final'!$T$69),"")</f>
        <v/>
      </c>
      <c r="AE35" s="45" t="str">
        <f>IF(AND('Mapa final'!$AD$70="Media",'Mapa final'!$AF$70="Mayor"),CONCATENATE("R10C",'Mapa final'!$T$70),"")</f>
        <v/>
      </c>
      <c r="AF35" s="45" t="str">
        <f>IF(AND('Mapa final'!$AD$71="Media",'Mapa final'!$AF$71="Mayor"),CONCATENATE("R10C",'Mapa final'!$T$71),"")</f>
        <v/>
      </c>
      <c r="AG35" s="46" t="str">
        <f>IF(AND('Mapa final'!$AD$72="Media",'Mapa final'!$AF$72="Mayor"),CONCATENATE("R10C",'Mapa final'!$T$72),"")</f>
        <v/>
      </c>
      <c r="AH35" s="47" t="str">
        <f>IF(AND('Mapa final'!$AD$67="Media",'Mapa final'!$AF$67="Catastrófico"),CONCATENATE("R10C",'Mapa final'!$T$67),"")</f>
        <v/>
      </c>
      <c r="AI35" s="48" t="str">
        <f>IF(AND('Mapa final'!$AD$68="Media",'Mapa final'!$AF$68="Catastrófico"),CONCATENATE("R10C",'Mapa final'!$T$68),"")</f>
        <v/>
      </c>
      <c r="AJ35" s="48" t="str">
        <f>IF(AND('Mapa final'!$AD$69="Media",'Mapa final'!$AF$69="Catastrófico"),CONCATENATE("R10C",'Mapa final'!$T$69),"")</f>
        <v/>
      </c>
      <c r="AK35" s="48" t="str">
        <f>IF(AND('Mapa final'!$AD$70="Media",'Mapa final'!$AF$70="Catastrófico"),CONCATENATE("R10C",'Mapa final'!$T$70),"")</f>
        <v/>
      </c>
      <c r="AL35" s="48" t="str">
        <f>IF(AND('Mapa final'!$AD$71="Media",'Mapa final'!$AF$71="Catastrófico"),CONCATENATE("R10C",'Mapa final'!$T$71),"")</f>
        <v/>
      </c>
      <c r="AM35" s="49" t="str">
        <f>IF(AND('Mapa final'!$AD$72="Media",'Mapa final'!$AF$72="Catastrófico"),CONCATENATE("R10C",'Mapa final'!$T$72),"")</f>
        <v/>
      </c>
      <c r="AN35" s="69"/>
      <c r="AO35" s="530"/>
      <c r="AP35" s="531"/>
      <c r="AQ35" s="531"/>
      <c r="AR35" s="531"/>
      <c r="AS35" s="531"/>
      <c r="AT35" s="532"/>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399"/>
      <c r="C36" s="399"/>
      <c r="D36" s="400"/>
      <c r="E36" s="494" t="s">
        <v>114</v>
      </c>
      <c r="F36" s="495"/>
      <c r="G36" s="495"/>
      <c r="H36" s="495"/>
      <c r="I36" s="495"/>
      <c r="J36" s="59" t="str">
        <f>IF(AND('Mapa final'!$AD$13="Baja",'Mapa final'!$AF$13="Leve"),CONCATENATE("R1C",'Mapa final'!$T$13),"")</f>
        <v/>
      </c>
      <c r="K36" s="60" t="str">
        <f>IF(AND('Mapa final'!$AD$14="Baja",'Mapa final'!$AF$14="Leve"),CONCATENATE("R1C",'Mapa final'!$T$14),"")</f>
        <v/>
      </c>
      <c r="L36" s="60" t="str">
        <f>IF(AND('Mapa final'!$AD$15="Baja",'Mapa final'!$AF$15="Leve"),CONCATENATE("R1C",'Mapa final'!$T$15),"")</f>
        <v/>
      </c>
      <c r="M36" s="60" t="str">
        <f>IF(AND('Mapa final'!$AD$16="Baja",'Mapa final'!$AF$16="Leve"),CONCATENATE("R1C",'Mapa final'!$T$16),"")</f>
        <v/>
      </c>
      <c r="N36" s="60" t="str">
        <f>IF(AND('Mapa final'!$AD$17="Baja",'Mapa final'!$AF$17="Leve"),CONCATENATE("R1C",'Mapa final'!$T$17),"")</f>
        <v/>
      </c>
      <c r="O36" s="61" t="str">
        <f>IF(AND('Mapa final'!$AD$18="Baja",'Mapa final'!$AF$18="Leve"),CONCATENATE("R1C",'Mapa final'!$T$18),"")</f>
        <v/>
      </c>
      <c r="P36" s="50" t="str">
        <f>IF(AND('Mapa final'!$AD$13="Baja",'Mapa final'!$AF$13="Menor"),CONCATENATE("R1C",'Mapa final'!$T$13),"")</f>
        <v/>
      </c>
      <c r="Q36" s="51" t="str">
        <f>IF(AND('Mapa final'!$AD$14="Baja",'Mapa final'!$AF$14="Menor"),CONCATENATE("R1C",'Mapa final'!$T$14),"")</f>
        <v/>
      </c>
      <c r="R36" s="51" t="str">
        <f>IF(AND('Mapa final'!$AD$15="Baja",'Mapa final'!$AF$15="Menor"),CONCATENATE("R1C",'Mapa final'!$T$15),"")</f>
        <v/>
      </c>
      <c r="S36" s="51" t="str">
        <f>IF(AND('Mapa final'!$AD$16="Baja",'Mapa final'!$AF$16="Menor"),CONCATENATE("R1C",'Mapa final'!$T$16),"")</f>
        <v/>
      </c>
      <c r="T36" s="51" t="str">
        <f>IF(AND('Mapa final'!$AD$17="Baja",'Mapa final'!$AF$17="Menor"),CONCATENATE("R1C",'Mapa final'!$T$17),"")</f>
        <v/>
      </c>
      <c r="U36" s="52" t="str">
        <f>IF(AND('Mapa final'!$AD$18="Baja",'Mapa final'!$AF$18="Menor"),CONCATENATE("R1C",'Mapa final'!$T$18),"")</f>
        <v/>
      </c>
      <c r="V36" s="50" t="str">
        <f>IF(AND('Mapa final'!$AD$13="Baja",'Mapa final'!$AF$13="Moderado"),CONCATENATE("R1C",'Mapa final'!$T$13),"")</f>
        <v/>
      </c>
      <c r="W36" s="51" t="str">
        <f>IF(AND('Mapa final'!$AD$14="Baja",'Mapa final'!$AF$14="Moderado"),CONCATENATE("R1C",'Mapa final'!$T$14),"")</f>
        <v/>
      </c>
      <c r="X36" s="51" t="str">
        <f>IF(AND('Mapa final'!$AD$15="Baja",'Mapa final'!$AF$15="Moderado"),CONCATENATE("R1C",'Mapa final'!$T$15),"")</f>
        <v/>
      </c>
      <c r="Y36" s="51" t="str">
        <f>IF(AND('Mapa final'!$AD$16="Baja",'Mapa final'!$AF$16="Moderado"),CONCATENATE("R1C",'Mapa final'!$T$16),"")</f>
        <v/>
      </c>
      <c r="Z36" s="51" t="str">
        <f>IF(AND('Mapa final'!$AD$17="Baja",'Mapa final'!$AF$17="Moderado"),CONCATENATE("R1C",'Mapa final'!$T$17),"")</f>
        <v/>
      </c>
      <c r="AA36" s="52" t="str">
        <f>IF(AND('Mapa final'!$AD$18="Baja",'Mapa final'!$AF$18="Moderado"),CONCATENATE("R1C",'Mapa final'!$T$18),"")</f>
        <v/>
      </c>
      <c r="AB36" s="32" t="str">
        <f>IF(AND('Mapa final'!$AD$13="Baja",'Mapa final'!$AF$13="Mayor"),CONCATENATE("R1C",'Mapa final'!$T$13),"")</f>
        <v/>
      </c>
      <c r="AC36" s="33" t="str">
        <f>IF(AND('Mapa final'!$AD$14="Baja",'Mapa final'!$AF$14="Mayor"),CONCATENATE("R1C",'Mapa final'!$T$14),"")</f>
        <v>R1C2</v>
      </c>
      <c r="AD36" s="33" t="str">
        <f>IF(AND('Mapa final'!$AD$15="Baja",'Mapa final'!$AF$15="Mayor"),CONCATENATE("R1C",'Mapa final'!$T$15),"")</f>
        <v/>
      </c>
      <c r="AE36" s="33" t="str">
        <f>IF(AND('Mapa final'!$AD$16="Baja",'Mapa final'!$AF$16="Mayor"),CONCATENATE("R1C",'Mapa final'!$T$16),"")</f>
        <v/>
      </c>
      <c r="AF36" s="33" t="str">
        <f>IF(AND('Mapa final'!$AD$17="Baja",'Mapa final'!$AF$17="Mayor"),CONCATENATE("R1C",'Mapa final'!$T$17),"")</f>
        <v/>
      </c>
      <c r="AG36" s="34" t="str">
        <f>IF(AND('Mapa final'!$AD$18="Baja",'Mapa final'!$AF$18="Mayor"),CONCATENATE("R1C",'Mapa final'!$T$18),"")</f>
        <v/>
      </c>
      <c r="AH36" s="35" t="str">
        <f>IF(AND('Mapa final'!$AD$13="Baja",'Mapa final'!$AF$13="Catastrófico"),CONCATENATE("R1C",'Mapa final'!$T$13),"")</f>
        <v/>
      </c>
      <c r="AI36" s="36" t="str">
        <f>IF(AND('Mapa final'!$AD$14="Baja",'Mapa final'!$AF$14="Catastrófico"),CONCATENATE("R1C",'Mapa final'!$T$14),"")</f>
        <v/>
      </c>
      <c r="AJ36" s="36" t="str">
        <f>IF(AND('Mapa final'!$AD$15="Baja",'Mapa final'!$AF$15="Catastrófico"),CONCATENATE("R1C",'Mapa final'!$T$15),"")</f>
        <v/>
      </c>
      <c r="AK36" s="36" t="str">
        <f>IF(AND('Mapa final'!$AD$16="Baja",'Mapa final'!$AF$16="Catastrófico"),CONCATENATE("R1C",'Mapa final'!$T$16),"")</f>
        <v/>
      </c>
      <c r="AL36" s="36" t="str">
        <f>IF(AND('Mapa final'!$AD$17="Baja",'Mapa final'!$AF$17="Catastrófico"),CONCATENATE("R1C",'Mapa final'!$T$17),"")</f>
        <v/>
      </c>
      <c r="AM36" s="37" t="str">
        <f>IF(AND('Mapa final'!$AD$18="Baja",'Mapa final'!$AF$18="Catastrófico"),CONCATENATE("R1C",'Mapa final'!$T$18),"")</f>
        <v/>
      </c>
      <c r="AN36" s="69"/>
      <c r="AO36" s="515" t="s">
        <v>82</v>
      </c>
      <c r="AP36" s="516"/>
      <c r="AQ36" s="516"/>
      <c r="AR36" s="516"/>
      <c r="AS36" s="516"/>
      <c r="AT36" s="517"/>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399"/>
      <c r="C37" s="399"/>
      <c r="D37" s="400"/>
      <c r="E37" s="496"/>
      <c r="F37" s="497"/>
      <c r="G37" s="497"/>
      <c r="H37" s="497"/>
      <c r="I37" s="497"/>
      <c r="J37" s="62" t="str">
        <f>IF(AND('Mapa final'!$AD$19="Baja",'Mapa final'!$AF$19="Leve"),CONCATENATE("R2C",'Mapa final'!$T$19),"")</f>
        <v/>
      </c>
      <c r="K37" s="63" t="str">
        <f>IF(AND('Mapa final'!$AD$20="Baja",'Mapa final'!$AF$20="Leve"),CONCATENATE("R2C",'Mapa final'!$T$20),"")</f>
        <v/>
      </c>
      <c r="L37" s="63" t="str">
        <f>IF(AND('Mapa final'!$AD$21="Baja",'Mapa final'!$AF$21="Leve"),CONCATENATE("R2C",'Mapa final'!$T$21),"")</f>
        <v/>
      </c>
      <c r="M37" s="63" t="str">
        <f>IF(AND('Mapa final'!$AD$22="Baja",'Mapa final'!$AF$22="Leve"),CONCATENATE("R2C",'Mapa final'!$T$22),"")</f>
        <v/>
      </c>
      <c r="N37" s="63" t="str">
        <f>IF(AND('Mapa final'!$AD$23="Baja",'Mapa final'!$AF$23="Leve"),CONCATENATE("R2C",'Mapa final'!$T$23),"")</f>
        <v/>
      </c>
      <c r="O37" s="64" t="str">
        <f>IF(AND('Mapa final'!$AD$24="Baja",'Mapa final'!$AF$24="Leve"),CONCATENATE("R2C",'Mapa final'!$T$24),"")</f>
        <v/>
      </c>
      <c r="P37" s="53" t="str">
        <f>IF(AND('Mapa final'!$AD$19="Baja",'Mapa final'!$AF$19="Menor"),CONCATENATE("R2C",'Mapa final'!$T$19),"")</f>
        <v/>
      </c>
      <c r="Q37" s="54" t="str">
        <f>IF(AND('Mapa final'!$AD$20="Baja",'Mapa final'!$AF$20="Menor"),CONCATENATE("R2C",'Mapa final'!$T$20),"")</f>
        <v/>
      </c>
      <c r="R37" s="54" t="str">
        <f>IF(AND('Mapa final'!$AD$21="Baja",'Mapa final'!$AF$21="Menor"),CONCATENATE("R2C",'Mapa final'!$T$21),"")</f>
        <v/>
      </c>
      <c r="S37" s="54" t="str">
        <f>IF(AND('Mapa final'!$AD$22="Baja",'Mapa final'!$AF$22="Menor"),CONCATENATE("R2C",'Mapa final'!$T$22),"")</f>
        <v/>
      </c>
      <c r="T37" s="54" t="str">
        <f>IF(AND('Mapa final'!$AD$23="Baja",'Mapa final'!$AF$23="Menor"),CONCATENATE("R2C",'Mapa final'!$T$23),"")</f>
        <v/>
      </c>
      <c r="U37" s="55" t="str">
        <f>IF(AND('Mapa final'!$AD$24="Baja",'Mapa final'!$AF$24="Menor"),CONCATENATE("R2C",'Mapa final'!$T$24),"")</f>
        <v/>
      </c>
      <c r="V37" s="53" t="str">
        <f>IF(AND('Mapa final'!$AD$19="Baja",'Mapa final'!$AF$19="Moderado"),CONCATENATE("R2C",'Mapa final'!$T$19),"")</f>
        <v/>
      </c>
      <c r="W37" s="54" t="str">
        <f>IF(AND('Mapa final'!$AD$20="Baja",'Mapa final'!$AF$20="Moderado"),CONCATENATE("R2C",'Mapa final'!$T$20),"")</f>
        <v/>
      </c>
      <c r="X37" s="54" t="str">
        <f>IF(AND('Mapa final'!$AD$21="Baja",'Mapa final'!$AF$21="Moderado"),CONCATENATE("R2C",'Mapa final'!$T$21),"")</f>
        <v/>
      </c>
      <c r="Y37" s="54" t="str">
        <f>IF(AND('Mapa final'!$AD$22="Baja",'Mapa final'!$AF$22="Moderado"),CONCATENATE("R2C",'Mapa final'!$T$22),"")</f>
        <v/>
      </c>
      <c r="Z37" s="54" t="str">
        <f>IF(AND('Mapa final'!$AD$23="Baja",'Mapa final'!$AF$23="Moderado"),CONCATENATE("R2C",'Mapa final'!$T$23),"")</f>
        <v/>
      </c>
      <c r="AA37" s="55" t="str">
        <f>IF(AND('Mapa final'!$AD$24="Baja",'Mapa final'!$AF$24="Moderado"),CONCATENATE("R2C",'Mapa final'!$T$24),"")</f>
        <v/>
      </c>
      <c r="AB37" s="38" t="str">
        <f>IF(AND('Mapa final'!$AD$19="Baja",'Mapa final'!$AF$19="Mayor"),CONCATENATE("R2C",'Mapa final'!$T$19),"")</f>
        <v/>
      </c>
      <c r="AC37" s="39" t="str">
        <f>IF(AND('Mapa final'!$AD$20="Baja",'Mapa final'!$AF$20="Mayor"),CONCATENATE("R2C",'Mapa final'!$T$20),"")</f>
        <v>R2C2</v>
      </c>
      <c r="AD37" s="39" t="str">
        <f>IF(AND('Mapa final'!$AD$21="Baja",'Mapa final'!$AF$21="Mayor"),CONCATENATE("R2C",'Mapa final'!$T$21),"")</f>
        <v/>
      </c>
      <c r="AE37" s="39" t="str">
        <f>IF(AND('Mapa final'!$AD$22="Baja",'Mapa final'!$AF$22="Mayor"),CONCATENATE("R2C",'Mapa final'!$T$22),"")</f>
        <v/>
      </c>
      <c r="AF37" s="39" t="str">
        <f>IF(AND('Mapa final'!$AD$23="Baja",'Mapa final'!$AF$23="Mayor"),CONCATENATE("R2C",'Mapa final'!$T$23),"")</f>
        <v/>
      </c>
      <c r="AG37" s="40" t="str">
        <f>IF(AND('Mapa final'!$AD$24="Baja",'Mapa final'!$AF$24="Mayor"),CONCATENATE("R2C",'Mapa final'!$T$24),"")</f>
        <v/>
      </c>
      <c r="AH37" s="41" t="str">
        <f>IF(AND('Mapa final'!$AD$19="Baja",'Mapa final'!$AF$19="Catastrófico"),CONCATENATE("R2C",'Mapa final'!$T$19),"")</f>
        <v/>
      </c>
      <c r="AI37" s="42" t="str">
        <f>IF(AND('Mapa final'!$AD$20="Baja",'Mapa final'!$AF$20="Catastrófico"),CONCATENATE("R2C",'Mapa final'!$T$20),"")</f>
        <v/>
      </c>
      <c r="AJ37" s="42" t="str">
        <f>IF(AND('Mapa final'!$AD$21="Baja",'Mapa final'!$AF$21="Catastrófico"),CONCATENATE("R2C",'Mapa final'!$T$21),"")</f>
        <v/>
      </c>
      <c r="AK37" s="42" t="str">
        <f>IF(AND('Mapa final'!$AD$22="Baja",'Mapa final'!$AF$22="Catastrófico"),CONCATENATE("R2C",'Mapa final'!$T$22),"")</f>
        <v/>
      </c>
      <c r="AL37" s="42" t="str">
        <f>IF(AND('Mapa final'!$AD$23="Baja",'Mapa final'!$AF$23="Catastrófico"),CONCATENATE("R2C",'Mapa final'!$T$23),"")</f>
        <v/>
      </c>
      <c r="AM37" s="43" t="str">
        <f>IF(AND('Mapa final'!$AD$24="Baja",'Mapa final'!$AF$24="Catastrófico"),CONCATENATE("R2C",'Mapa final'!$T$24),"")</f>
        <v/>
      </c>
      <c r="AN37" s="69"/>
      <c r="AO37" s="518"/>
      <c r="AP37" s="519"/>
      <c r="AQ37" s="519"/>
      <c r="AR37" s="519"/>
      <c r="AS37" s="519"/>
      <c r="AT37" s="520"/>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399"/>
      <c r="C38" s="399"/>
      <c r="D38" s="400"/>
      <c r="E38" s="498"/>
      <c r="F38" s="497"/>
      <c r="G38" s="497"/>
      <c r="H38" s="497"/>
      <c r="I38" s="497"/>
      <c r="J38" s="62" t="str">
        <f>IF(AND('Mapa final'!$AD$25="Baja",'Mapa final'!$AF$25="Leve"),CONCATENATE("R3C",'Mapa final'!$T$25),"")</f>
        <v/>
      </c>
      <c r="K38" s="63" t="str">
        <f>IF(AND('Mapa final'!$AD$26="Baja",'Mapa final'!$AF$26="Leve"),CONCATENATE("R3C",'Mapa final'!$T$26),"")</f>
        <v/>
      </c>
      <c r="L38" s="63" t="str">
        <f>IF(AND('Mapa final'!$AD$27="Baja",'Mapa final'!$AF$27="Leve"),CONCATENATE("R3C",'Mapa final'!$T$27),"")</f>
        <v/>
      </c>
      <c r="M38" s="63" t="str">
        <f>IF(AND('Mapa final'!$AD$28="Baja",'Mapa final'!$AF$28="Leve"),CONCATENATE("R3C",'Mapa final'!$T$28),"")</f>
        <v/>
      </c>
      <c r="N38" s="63" t="str">
        <f>IF(AND('Mapa final'!$AD$29="Baja",'Mapa final'!$AF$29="Leve"),CONCATENATE("R3C",'Mapa final'!$T$29),"")</f>
        <v/>
      </c>
      <c r="O38" s="64" t="str">
        <f>IF(AND('Mapa final'!$AD$30="Baja",'Mapa final'!$AF$30="Leve"),CONCATENATE("R3C",'Mapa final'!$T$30),"")</f>
        <v/>
      </c>
      <c r="P38" s="53" t="str">
        <f>IF(AND('Mapa final'!$AD$25="Baja",'Mapa final'!$AF$25="Menor"),CONCATENATE("R3C",'Mapa final'!$T$25),"")</f>
        <v/>
      </c>
      <c r="Q38" s="54" t="str">
        <f>IF(AND('Mapa final'!$AD$26="Baja",'Mapa final'!$AF$26="Menor"),CONCATENATE("R3C",'Mapa final'!$T$26),"")</f>
        <v/>
      </c>
      <c r="R38" s="54" t="str">
        <f>IF(AND('Mapa final'!$AD$27="Baja",'Mapa final'!$AF$27="Menor"),CONCATENATE("R3C",'Mapa final'!$T$27),"")</f>
        <v/>
      </c>
      <c r="S38" s="54" t="str">
        <f>IF(AND('Mapa final'!$AD$28="Baja",'Mapa final'!$AF$28="Menor"),CONCATENATE("R3C",'Mapa final'!$T$28),"")</f>
        <v/>
      </c>
      <c r="T38" s="54" t="str">
        <f>IF(AND('Mapa final'!$AD$29="Baja",'Mapa final'!$AF$29="Menor"),CONCATENATE("R3C",'Mapa final'!$T$29),"")</f>
        <v/>
      </c>
      <c r="U38" s="55" t="str">
        <f>IF(AND('Mapa final'!$AD$30="Baja",'Mapa final'!$AF$30="Menor"),CONCATENATE("R3C",'Mapa final'!$T$30),"")</f>
        <v/>
      </c>
      <c r="V38" s="53" t="str">
        <f>IF(AND('Mapa final'!$AD$25="Baja",'Mapa final'!$AF$25="Moderado"),CONCATENATE("R3C",'Mapa final'!$T$25),"")</f>
        <v/>
      </c>
      <c r="W38" s="54" t="str">
        <f>IF(AND('Mapa final'!$AD$26="Baja",'Mapa final'!$AF$26="Moderado"),CONCATENATE("R3C",'Mapa final'!$T$26),"")</f>
        <v/>
      </c>
      <c r="X38" s="54" t="str">
        <f>IF(AND('Mapa final'!$AD$27="Baja",'Mapa final'!$AF$27="Moderado"),CONCATENATE("R3C",'Mapa final'!$T$27),"")</f>
        <v/>
      </c>
      <c r="Y38" s="54" t="str">
        <f>IF(AND('Mapa final'!$AD$28="Baja",'Mapa final'!$AF$28="Moderado"),CONCATENATE("R3C",'Mapa final'!$T$28),"")</f>
        <v/>
      </c>
      <c r="Z38" s="54" t="str">
        <f>IF(AND('Mapa final'!$AD$29="Baja",'Mapa final'!$AF$29="Moderado"),CONCATENATE("R3C",'Mapa final'!$T$29),"")</f>
        <v/>
      </c>
      <c r="AA38" s="55" t="str">
        <f>IF(AND('Mapa final'!$AD$30="Baja",'Mapa final'!$AF$30="Moderado"),CONCATENATE("R3C",'Mapa final'!$T$30),"")</f>
        <v/>
      </c>
      <c r="AB38" s="38" t="str">
        <f>IF(AND('Mapa final'!$AD$25="Baja",'Mapa final'!$AF$25="Mayor"),CONCATENATE("R3C",'Mapa final'!$T$25),"")</f>
        <v/>
      </c>
      <c r="AC38" s="39" t="str">
        <f>IF(AND('Mapa final'!$AD$26="Baja",'Mapa final'!$AF$26="Mayor"),CONCATENATE("R3C",'Mapa final'!$T$26),"")</f>
        <v/>
      </c>
      <c r="AD38" s="39" t="str">
        <f>IF(AND('Mapa final'!$AD$27="Baja",'Mapa final'!$AF$27="Mayor"),CONCATENATE("R3C",'Mapa final'!$T$27),"")</f>
        <v/>
      </c>
      <c r="AE38" s="39" t="str">
        <f>IF(AND('Mapa final'!$AD$28="Baja",'Mapa final'!$AF$28="Mayor"),CONCATENATE("R3C",'Mapa final'!$T$28),"")</f>
        <v/>
      </c>
      <c r="AF38" s="39" t="str">
        <f>IF(AND('Mapa final'!$AD$29="Baja",'Mapa final'!$AF$29="Mayor"),CONCATENATE("R3C",'Mapa final'!$T$29),"")</f>
        <v/>
      </c>
      <c r="AG38" s="40" t="str">
        <f>IF(AND('Mapa final'!$AD$30="Baja",'Mapa final'!$AF$30="Mayor"),CONCATENATE("R3C",'Mapa final'!$T$30),"")</f>
        <v/>
      </c>
      <c r="AH38" s="41" t="str">
        <f>IF(AND('Mapa final'!$AD$25="Baja",'Mapa final'!$AF$25="Catastrófico"),CONCATENATE("R3C",'Mapa final'!$T$25),"")</f>
        <v/>
      </c>
      <c r="AI38" s="42" t="str">
        <f>IF(AND('Mapa final'!$AD$26="Baja",'Mapa final'!$AF$26="Catastrófico"),CONCATENATE("R3C",'Mapa final'!$T$26),"")</f>
        <v>R3C2</v>
      </c>
      <c r="AJ38" s="42" t="str">
        <f>IF(AND('Mapa final'!$AD$27="Baja",'Mapa final'!$AF$27="Catastrófico"),CONCATENATE("R3C",'Mapa final'!$T$27),"")</f>
        <v/>
      </c>
      <c r="AK38" s="42" t="str">
        <f>IF(AND('Mapa final'!$AD$28="Baja",'Mapa final'!$AF$28="Catastrófico"),CONCATENATE("R3C",'Mapa final'!$T$28),"")</f>
        <v/>
      </c>
      <c r="AL38" s="42" t="str">
        <f>IF(AND('Mapa final'!$AD$29="Baja",'Mapa final'!$AF$29="Catastrófico"),CONCATENATE("R3C",'Mapa final'!$T$29),"")</f>
        <v/>
      </c>
      <c r="AM38" s="43" t="str">
        <f>IF(AND('Mapa final'!$AD$30="Baja",'Mapa final'!$AF$30="Catastrófico"),CONCATENATE("R3C",'Mapa final'!$T$30),"")</f>
        <v/>
      </c>
      <c r="AN38" s="69"/>
      <c r="AO38" s="518"/>
      <c r="AP38" s="519"/>
      <c r="AQ38" s="519"/>
      <c r="AR38" s="519"/>
      <c r="AS38" s="519"/>
      <c r="AT38" s="520"/>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399"/>
      <c r="C39" s="399"/>
      <c r="D39" s="400"/>
      <c r="E39" s="498"/>
      <c r="F39" s="497"/>
      <c r="G39" s="497"/>
      <c r="H39" s="497"/>
      <c r="I39" s="497"/>
      <c r="J39" s="62" t="str">
        <f>IF(AND('Mapa final'!$AD$31="Baja",'Mapa final'!$AF$31="Leve"),CONCATENATE("R4C",'Mapa final'!$T$31),"")</f>
        <v/>
      </c>
      <c r="K39" s="63" t="str">
        <f>IF(AND('Mapa final'!$AD$32="Baja",'Mapa final'!$AF$32="Leve"),CONCATENATE("R4C",'Mapa final'!$T$32),"")</f>
        <v/>
      </c>
      <c r="L39" s="63" t="str">
        <f>IF(AND('Mapa final'!$AD$33="Baja",'Mapa final'!$AF$33="Leve"),CONCATENATE("R4C",'Mapa final'!$T$33),"")</f>
        <v/>
      </c>
      <c r="M39" s="63" t="str">
        <f>IF(AND('Mapa final'!$AD$34="Baja",'Mapa final'!$AF$34="Leve"),CONCATENATE("R4C",'Mapa final'!$T$34),"")</f>
        <v/>
      </c>
      <c r="N39" s="63" t="str">
        <f>IF(AND('Mapa final'!$AD$35="Baja",'Mapa final'!$AF$35="Leve"),CONCATENATE("R4C",'Mapa final'!$T$35),"")</f>
        <v/>
      </c>
      <c r="O39" s="64" t="str">
        <f>IF(AND('Mapa final'!$AD$36="Baja",'Mapa final'!$AF$36="Leve"),CONCATENATE("R4C",'Mapa final'!$T$36),"")</f>
        <v/>
      </c>
      <c r="P39" s="53" t="str">
        <f>IF(AND('Mapa final'!$AD$31="Baja",'Mapa final'!$AF$31="Menor"),CONCATENATE("R4C",'Mapa final'!$T$31),"")</f>
        <v/>
      </c>
      <c r="Q39" s="54" t="str">
        <f>IF(AND('Mapa final'!$AD$32="Baja",'Mapa final'!$AF$32="Menor"),CONCATENATE("R4C",'Mapa final'!$T$32),"")</f>
        <v/>
      </c>
      <c r="R39" s="54" t="str">
        <f>IF(AND('Mapa final'!$AD$33="Baja",'Mapa final'!$AF$33="Menor"),CONCATENATE("R4C",'Mapa final'!$T$33),"")</f>
        <v/>
      </c>
      <c r="S39" s="54" t="str">
        <f>IF(AND('Mapa final'!$AD$34="Baja",'Mapa final'!$AF$34="Menor"),CONCATENATE("R4C",'Mapa final'!$T$34),"")</f>
        <v/>
      </c>
      <c r="T39" s="54" t="str">
        <f>IF(AND('Mapa final'!$AD$35="Baja",'Mapa final'!$AF$35="Menor"),CONCATENATE("R4C",'Mapa final'!$T$35),"")</f>
        <v/>
      </c>
      <c r="U39" s="55" t="str">
        <f>IF(AND('Mapa final'!$AD$36="Baja",'Mapa final'!$AF$36="Menor"),CONCATENATE("R4C",'Mapa final'!$T$36),"")</f>
        <v/>
      </c>
      <c r="V39" s="53" t="str">
        <f>IF(AND('Mapa final'!$AD$31="Baja",'Mapa final'!$AF$31="Moderado"),CONCATENATE("R4C",'Mapa final'!$T$31),"")</f>
        <v/>
      </c>
      <c r="W39" s="54" t="str">
        <f>IF(AND('Mapa final'!$AD$32="Baja",'Mapa final'!$AF$32="Moderado"),CONCATENATE("R4C",'Mapa final'!$T$32),"")</f>
        <v/>
      </c>
      <c r="X39" s="54" t="str">
        <f>IF(AND('Mapa final'!$AD$33="Baja",'Mapa final'!$AF$33="Moderado"),CONCATENATE("R4C",'Mapa final'!$T$33),"")</f>
        <v/>
      </c>
      <c r="Y39" s="54" t="str">
        <f>IF(AND('Mapa final'!$AD$34="Baja",'Mapa final'!$AF$34="Moderado"),CONCATENATE("R4C",'Mapa final'!$T$34),"")</f>
        <v/>
      </c>
      <c r="Z39" s="54" t="str">
        <f>IF(AND('Mapa final'!$AD$35="Baja",'Mapa final'!$AF$35="Moderado"),CONCATENATE("R4C",'Mapa final'!$T$35),"")</f>
        <v/>
      </c>
      <c r="AA39" s="55" t="str">
        <f>IF(AND('Mapa final'!$AD$36="Baja",'Mapa final'!$AF$36="Moderado"),CONCATENATE("R4C",'Mapa final'!$T$36),"")</f>
        <v/>
      </c>
      <c r="AB39" s="38" t="str">
        <f>IF(AND('Mapa final'!$AD$31="Baja",'Mapa final'!$AF$31="Mayor"),CONCATENATE("R4C",'Mapa final'!$T$31),"")</f>
        <v/>
      </c>
      <c r="AC39" s="39" t="str">
        <f>IF(AND('Mapa final'!$AD$32="Baja",'Mapa final'!$AF$32="Mayor"),CONCATENATE("R4C",'Mapa final'!$T$32),"")</f>
        <v/>
      </c>
      <c r="AD39" s="39" t="str">
        <f>IF(AND('Mapa final'!$AD$33="Baja",'Mapa final'!$AF$33="Mayor"),CONCATENATE("R4C",'Mapa final'!$T$33),"")</f>
        <v/>
      </c>
      <c r="AE39" s="39" t="str">
        <f>IF(AND('Mapa final'!$AD$34="Baja",'Mapa final'!$AF$34="Mayor"),CONCATENATE("R4C",'Mapa final'!$T$34),"")</f>
        <v/>
      </c>
      <c r="AF39" s="39" t="str">
        <f>IF(AND('Mapa final'!$AD$35="Baja",'Mapa final'!$AF$35="Mayor"),CONCATENATE("R4C",'Mapa final'!$T$35),"")</f>
        <v/>
      </c>
      <c r="AG39" s="40" t="str">
        <f>IF(AND('Mapa final'!$AD$36="Baja",'Mapa final'!$AF$36="Mayor"),CONCATENATE("R4C",'Mapa final'!$T$36),"")</f>
        <v/>
      </c>
      <c r="AH39" s="41" t="str">
        <f>IF(AND('Mapa final'!$AD$31="Baja",'Mapa final'!$AF$31="Catastrófico"),CONCATENATE("R4C",'Mapa final'!$T$31),"")</f>
        <v/>
      </c>
      <c r="AI39" s="42" t="str">
        <f>IF(AND('Mapa final'!$AD$32="Baja",'Mapa final'!$AF$32="Catastrófico"),CONCATENATE("R4C",'Mapa final'!$T$32),"")</f>
        <v>R4C2</v>
      </c>
      <c r="AJ39" s="42" t="str">
        <f>IF(AND('Mapa final'!$AD$33="Baja",'Mapa final'!$AF$33="Catastrófico"),CONCATENATE("R4C",'Mapa final'!$T$33),"")</f>
        <v/>
      </c>
      <c r="AK39" s="42" t="str">
        <f>IF(AND('Mapa final'!$AD$34="Baja",'Mapa final'!$AF$34="Catastrófico"),CONCATENATE("R4C",'Mapa final'!$T$34),"")</f>
        <v/>
      </c>
      <c r="AL39" s="42" t="str">
        <f>IF(AND('Mapa final'!$AD$35="Baja",'Mapa final'!$AF$35="Catastrófico"),CONCATENATE("R4C",'Mapa final'!$T$35),"")</f>
        <v/>
      </c>
      <c r="AM39" s="43" t="str">
        <f>IF(AND('Mapa final'!$AD$36="Baja",'Mapa final'!$AF$36="Catastrófico"),CONCATENATE("R4C",'Mapa final'!$T$36),"")</f>
        <v/>
      </c>
      <c r="AN39" s="69"/>
      <c r="AO39" s="518"/>
      <c r="AP39" s="519"/>
      <c r="AQ39" s="519"/>
      <c r="AR39" s="519"/>
      <c r="AS39" s="519"/>
      <c r="AT39" s="520"/>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399"/>
      <c r="C40" s="399"/>
      <c r="D40" s="400"/>
      <c r="E40" s="498"/>
      <c r="F40" s="497"/>
      <c r="G40" s="497"/>
      <c r="H40" s="497"/>
      <c r="I40" s="497"/>
      <c r="J40" s="62" t="str">
        <f>IF(AND('Mapa final'!$AD$37="Baja",'Mapa final'!$AF$37="Leve"),CONCATENATE("R5C",'Mapa final'!$T$37),"")</f>
        <v/>
      </c>
      <c r="K40" s="63" t="str">
        <f>IF(AND('Mapa final'!$AD$38="Baja",'Mapa final'!$AF$38="Leve"),CONCATENATE("R5C",'Mapa final'!$T$38),"")</f>
        <v/>
      </c>
      <c r="L40" s="63" t="str">
        <f>IF(AND('Mapa final'!$AD$39="Baja",'Mapa final'!$AF$39="Leve"),CONCATENATE("R5C",'Mapa final'!$T$39),"")</f>
        <v/>
      </c>
      <c r="M40" s="63" t="str">
        <f>IF(AND('Mapa final'!$AD$40="Baja",'Mapa final'!$AF$40="Leve"),CONCATENATE("R5C",'Mapa final'!$T$40),"")</f>
        <v/>
      </c>
      <c r="N40" s="63" t="str">
        <f>IF(AND('Mapa final'!$AD$41="Baja",'Mapa final'!$AF$41="Leve"),CONCATENATE("R5C",'Mapa final'!$T$41),"")</f>
        <v/>
      </c>
      <c r="O40" s="64" t="str">
        <f>IF(AND('Mapa final'!$AD$42="Baja",'Mapa final'!$AF$42="Leve"),CONCATENATE("R5C",'Mapa final'!$T$42),"")</f>
        <v/>
      </c>
      <c r="P40" s="53" t="str">
        <f>IF(AND('Mapa final'!$AD$37="Baja",'Mapa final'!$AF$37="Menor"),CONCATENATE("R5C",'Mapa final'!$T$37),"")</f>
        <v/>
      </c>
      <c r="Q40" s="54" t="str">
        <f>IF(AND('Mapa final'!$AD$38="Baja",'Mapa final'!$AF$38="Menor"),CONCATENATE("R5C",'Mapa final'!$T$38),"")</f>
        <v/>
      </c>
      <c r="R40" s="54" t="str">
        <f>IF(AND('Mapa final'!$AD$39="Baja",'Mapa final'!$AF$39="Menor"),CONCATENATE("R5C",'Mapa final'!$T$39),"")</f>
        <v/>
      </c>
      <c r="S40" s="54" t="str">
        <f>IF(AND('Mapa final'!$AD$40="Baja",'Mapa final'!$AF$40="Menor"),CONCATENATE("R5C",'Mapa final'!$T$40),"")</f>
        <v/>
      </c>
      <c r="T40" s="54" t="str">
        <f>IF(AND('Mapa final'!$AD$41="Baja",'Mapa final'!$AF$41="Menor"),CONCATENATE("R5C",'Mapa final'!$T$41),"")</f>
        <v/>
      </c>
      <c r="U40" s="55" t="str">
        <f>IF(AND('Mapa final'!$AD$42="Baja",'Mapa final'!$AF$42="Menor"),CONCATENATE("R5C",'Mapa final'!$T$42),"")</f>
        <v/>
      </c>
      <c r="V40" s="53" t="str">
        <f>IF(AND('Mapa final'!$AD$37="Baja",'Mapa final'!$AF$37="Moderado"),CONCATENATE("R5C",'Mapa final'!$T$37),"")</f>
        <v/>
      </c>
      <c r="W40" s="54" t="str">
        <f>IF(AND('Mapa final'!$AD$38="Baja",'Mapa final'!$AF$38="Moderado"),CONCATENATE("R5C",'Mapa final'!$T$38),"")</f>
        <v/>
      </c>
      <c r="X40" s="54" t="str">
        <f>IF(AND('Mapa final'!$AD$39="Baja",'Mapa final'!$AF$39="Moderado"),CONCATENATE("R5C",'Mapa final'!$T$39),"")</f>
        <v/>
      </c>
      <c r="Y40" s="54" t="str">
        <f>IF(AND('Mapa final'!$AD$40="Baja",'Mapa final'!$AF$40="Moderado"),CONCATENATE("R5C",'Mapa final'!$T$40),"")</f>
        <v/>
      </c>
      <c r="Z40" s="54" t="str">
        <f>IF(AND('Mapa final'!$AD$41="Baja",'Mapa final'!$AF$41="Moderado"),CONCATENATE("R5C",'Mapa final'!$T$41),"")</f>
        <v/>
      </c>
      <c r="AA40" s="55" t="str">
        <f>IF(AND('Mapa final'!$AD$42="Baja",'Mapa final'!$AF$42="Moderado"),CONCATENATE("R5C",'Mapa final'!$T$42),"")</f>
        <v/>
      </c>
      <c r="AB40" s="38" t="str">
        <f>IF(AND('Mapa final'!$AD$37="Baja",'Mapa final'!$AF$37="Mayor"),CONCATENATE("R5C",'Mapa final'!$T$37),"")</f>
        <v/>
      </c>
      <c r="AC40" s="39" t="str">
        <f>IF(AND('Mapa final'!$AD$38="Baja",'Mapa final'!$AF$38="Mayor"),CONCATENATE("R5C",'Mapa final'!$T$38),"")</f>
        <v/>
      </c>
      <c r="AD40" s="39" t="str">
        <f>IF(AND('Mapa final'!$AD$39="Baja",'Mapa final'!$AF$39="Mayor"),CONCATENATE("R5C",'Mapa final'!$T$39),"")</f>
        <v/>
      </c>
      <c r="AE40" s="39" t="str">
        <f>IF(AND('Mapa final'!$AD$40="Baja",'Mapa final'!$AF$40="Mayor"),CONCATENATE("R5C",'Mapa final'!$T$40),"")</f>
        <v/>
      </c>
      <c r="AF40" s="39" t="str">
        <f>IF(AND('Mapa final'!$AD$41="Baja",'Mapa final'!$AF$41="Mayor"),CONCATENATE("R5C",'Mapa final'!$T$41),"")</f>
        <v/>
      </c>
      <c r="AG40" s="40" t="str">
        <f>IF(AND('Mapa final'!$AD$42="Baja",'Mapa final'!$AF$42="Mayor"),CONCATENATE("R5C",'Mapa final'!$T$42),"")</f>
        <v/>
      </c>
      <c r="AH40" s="41" t="str">
        <f>IF(AND('Mapa final'!$AD$37="Baja",'Mapa final'!$AF$37="Catastrófico"),CONCATENATE("R5C",'Mapa final'!$T$37),"")</f>
        <v/>
      </c>
      <c r="AI40" s="42" t="str">
        <f>IF(AND('Mapa final'!$AD$38="Baja",'Mapa final'!$AF$38="Catastrófico"),CONCATENATE("R5C",'Mapa final'!$T$38),"")</f>
        <v>R5C2</v>
      </c>
      <c r="AJ40" s="42" t="str">
        <f>IF(AND('Mapa final'!$AD$39="Baja",'Mapa final'!$AF$39="Catastrófico"),CONCATENATE("R5C",'Mapa final'!$T$39),"")</f>
        <v/>
      </c>
      <c r="AK40" s="42" t="str">
        <f>IF(AND('Mapa final'!$AD$40="Baja",'Mapa final'!$AF$40="Catastrófico"),CONCATENATE("R5C",'Mapa final'!$T$40),"")</f>
        <v/>
      </c>
      <c r="AL40" s="42" t="str">
        <f>IF(AND('Mapa final'!$AD$41="Baja",'Mapa final'!$AF$41="Catastrófico"),CONCATENATE("R5C",'Mapa final'!$T$41),"")</f>
        <v/>
      </c>
      <c r="AM40" s="43" t="str">
        <f>IF(AND('Mapa final'!$AD$42="Baja",'Mapa final'!$AF$42="Catastrófico"),CONCATENATE("R5C",'Mapa final'!$T$42),"")</f>
        <v/>
      </c>
      <c r="AN40" s="69"/>
      <c r="AO40" s="518"/>
      <c r="AP40" s="519"/>
      <c r="AQ40" s="519"/>
      <c r="AR40" s="519"/>
      <c r="AS40" s="519"/>
      <c r="AT40" s="520"/>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399"/>
      <c r="C41" s="399"/>
      <c r="D41" s="400"/>
      <c r="E41" s="498"/>
      <c r="F41" s="497"/>
      <c r="G41" s="497"/>
      <c r="H41" s="497"/>
      <c r="I41" s="497"/>
      <c r="J41" s="62" t="str">
        <f>IF(AND('Mapa final'!$AD$43="Baja",'Mapa final'!$AF$43="Leve"),CONCATENATE("R6C",'Mapa final'!$T$43),"")</f>
        <v/>
      </c>
      <c r="K41" s="63" t="str">
        <f>IF(AND('Mapa final'!$AD$44="Baja",'Mapa final'!$AF$44="Leve"),CONCATENATE("R6C",'Mapa final'!$T$44),"")</f>
        <v/>
      </c>
      <c r="L41" s="63" t="str">
        <f>IF(AND('Mapa final'!$AD$45="Baja",'Mapa final'!$AF$45="Leve"),CONCATENATE("R6C",'Mapa final'!$T$45),"")</f>
        <v/>
      </c>
      <c r="M41" s="63" t="str">
        <f>IF(AND('Mapa final'!$AD$46="Baja",'Mapa final'!$AF$46="Leve"),CONCATENATE("R6C",'Mapa final'!$T$46),"")</f>
        <v/>
      </c>
      <c r="N41" s="63" t="str">
        <f>IF(AND('Mapa final'!$AD$47="Baja",'Mapa final'!$AF$47="Leve"),CONCATENATE("R6C",'Mapa final'!$T$47),"")</f>
        <v/>
      </c>
      <c r="O41" s="64" t="str">
        <f>IF(AND('Mapa final'!$AD$48="Baja",'Mapa final'!$AF$48="Leve"),CONCATENATE("R6C",'Mapa final'!$T$48),"")</f>
        <v/>
      </c>
      <c r="P41" s="53" t="str">
        <f>IF(AND('Mapa final'!$AD$43="Baja",'Mapa final'!$AF$43="Menor"),CONCATENATE("R6C",'Mapa final'!$T$43),"")</f>
        <v/>
      </c>
      <c r="Q41" s="54" t="str">
        <f>IF(AND('Mapa final'!$AD$44="Baja",'Mapa final'!$AF$44="Menor"),CONCATENATE("R6C",'Mapa final'!$T$44),"")</f>
        <v/>
      </c>
      <c r="R41" s="54" t="str">
        <f>IF(AND('Mapa final'!$AD$45="Baja",'Mapa final'!$AF$45="Menor"),CONCATENATE("R6C",'Mapa final'!$T$45),"")</f>
        <v/>
      </c>
      <c r="S41" s="54" t="str">
        <f>IF(AND('Mapa final'!$AD$46="Baja",'Mapa final'!$AF$46="Menor"),CONCATENATE("R6C",'Mapa final'!$T$46),"")</f>
        <v/>
      </c>
      <c r="T41" s="54" t="str">
        <f>IF(AND('Mapa final'!$AD$47="Baja",'Mapa final'!$AF$47="Menor"),CONCATENATE("R6C",'Mapa final'!$T$47),"")</f>
        <v/>
      </c>
      <c r="U41" s="55" t="str">
        <f>IF(AND('Mapa final'!$AD$48="Baja",'Mapa final'!$AF$48="Menor"),CONCATENATE("R6C",'Mapa final'!$T$48),"")</f>
        <v/>
      </c>
      <c r="V41" s="53" t="str">
        <f>IF(AND('Mapa final'!$AD$43="Baja",'Mapa final'!$AF$43="Moderado"),CONCATENATE("R6C",'Mapa final'!$T$43),"")</f>
        <v/>
      </c>
      <c r="W41" s="54" t="str">
        <f>IF(AND('Mapa final'!$AD$44="Baja",'Mapa final'!$AF$44="Moderado"),CONCATENATE("R6C",'Mapa final'!$T$44),"")</f>
        <v/>
      </c>
      <c r="X41" s="54" t="str">
        <f>IF(AND('Mapa final'!$AD$45="Baja",'Mapa final'!$AF$45="Moderado"),CONCATENATE("R6C",'Mapa final'!$T$45),"")</f>
        <v/>
      </c>
      <c r="Y41" s="54" t="str">
        <f>IF(AND('Mapa final'!$AD$46="Baja",'Mapa final'!$AF$46="Moderado"),CONCATENATE("R6C",'Mapa final'!$T$46),"")</f>
        <v/>
      </c>
      <c r="Z41" s="54" t="str">
        <f>IF(AND('Mapa final'!$AD$47="Baja",'Mapa final'!$AF$47="Moderado"),CONCATENATE("R6C",'Mapa final'!$T$47),"")</f>
        <v/>
      </c>
      <c r="AA41" s="55" t="str">
        <f>IF(AND('Mapa final'!$AD$48="Baja",'Mapa final'!$AF$48="Moderado"),CONCATENATE("R6C",'Mapa final'!$T$48),"")</f>
        <v/>
      </c>
      <c r="AB41" s="38" t="str">
        <f>IF(AND('Mapa final'!$AD$43="Baja",'Mapa final'!$AF$43="Mayor"),CONCATENATE("R6C",'Mapa final'!$T$43),"")</f>
        <v/>
      </c>
      <c r="AC41" s="39" t="str">
        <f>IF(AND('Mapa final'!$AD$44="Baja",'Mapa final'!$AF$44="Mayor"),CONCATENATE("R6C",'Mapa final'!$T$44),"")</f>
        <v/>
      </c>
      <c r="AD41" s="39" t="str">
        <f>IF(AND('Mapa final'!$AD$45="Baja",'Mapa final'!$AF$45="Mayor"),CONCATENATE("R6C",'Mapa final'!$T$45),"")</f>
        <v/>
      </c>
      <c r="AE41" s="39" t="str">
        <f>IF(AND('Mapa final'!$AD$46="Baja",'Mapa final'!$AF$46="Mayor"),CONCATENATE("R6C",'Mapa final'!$T$46),"")</f>
        <v/>
      </c>
      <c r="AF41" s="39" t="str">
        <f>IF(AND('Mapa final'!$AD$47="Baja",'Mapa final'!$AF$47="Mayor"),CONCATENATE("R6C",'Mapa final'!$T$47),"")</f>
        <v/>
      </c>
      <c r="AG41" s="40" t="str">
        <f>IF(AND('Mapa final'!$AD$48="Baja",'Mapa final'!$AF$48="Mayor"),CONCATENATE("R6C",'Mapa final'!$T$48),"")</f>
        <v/>
      </c>
      <c r="AH41" s="41" t="str">
        <f>IF(AND('Mapa final'!$AD$43="Baja",'Mapa final'!$AF$43="Catastrófico"),CONCATENATE("R6C",'Mapa final'!$T$43),"")</f>
        <v/>
      </c>
      <c r="AI41" s="42" t="str">
        <f>IF(AND('Mapa final'!$AD$44="Baja",'Mapa final'!$AF$44="Catastrófico"),CONCATENATE("R6C",'Mapa final'!$T$44),"")</f>
        <v/>
      </c>
      <c r="AJ41" s="42" t="str">
        <f>IF(AND('Mapa final'!$AD$45="Baja",'Mapa final'!$AF$45="Catastrófico"),CONCATENATE("R6C",'Mapa final'!$T$45),"")</f>
        <v/>
      </c>
      <c r="AK41" s="42" t="str">
        <f>IF(AND('Mapa final'!$AD$46="Baja",'Mapa final'!$AF$46="Catastrófico"),CONCATENATE("R6C",'Mapa final'!$T$46),"")</f>
        <v/>
      </c>
      <c r="AL41" s="42" t="str">
        <f>IF(AND('Mapa final'!$AD$47="Baja",'Mapa final'!$AF$47="Catastrófico"),CONCATENATE("R6C",'Mapa final'!$T$47),"")</f>
        <v/>
      </c>
      <c r="AM41" s="43" t="str">
        <f>IF(AND('Mapa final'!$AD$48="Baja",'Mapa final'!$AF$48="Catastrófico"),CONCATENATE("R6C",'Mapa final'!$T$48),"")</f>
        <v/>
      </c>
      <c r="AN41" s="69"/>
      <c r="AO41" s="518"/>
      <c r="AP41" s="519"/>
      <c r="AQ41" s="519"/>
      <c r="AR41" s="519"/>
      <c r="AS41" s="519"/>
      <c r="AT41" s="520"/>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399"/>
      <c r="C42" s="399"/>
      <c r="D42" s="400"/>
      <c r="E42" s="498"/>
      <c r="F42" s="497"/>
      <c r="G42" s="497"/>
      <c r="H42" s="497"/>
      <c r="I42" s="497"/>
      <c r="J42" s="62" t="str">
        <f>IF(AND('Mapa final'!$AD$49="Baja",'Mapa final'!$AF$49="Leve"),CONCATENATE("R7C",'Mapa final'!$T$49),"")</f>
        <v/>
      </c>
      <c r="K42" s="63" t="str">
        <f>IF(AND('Mapa final'!$AD$50="Baja",'Mapa final'!$AF$50="Leve"),CONCATENATE("R7C",'Mapa final'!$T$50),"")</f>
        <v/>
      </c>
      <c r="L42" s="63" t="str">
        <f>IF(AND('Mapa final'!$AD$51="Baja",'Mapa final'!$AF$51="Leve"),CONCATENATE("R7C",'Mapa final'!$T$51),"")</f>
        <v/>
      </c>
      <c r="M42" s="63" t="str">
        <f>IF(AND('Mapa final'!$AD$52="Baja",'Mapa final'!$AF$52="Leve"),CONCATENATE("R7C",'Mapa final'!$T$52),"")</f>
        <v/>
      </c>
      <c r="N42" s="63" t="str">
        <f>IF(AND('Mapa final'!$AD$53="Baja",'Mapa final'!$AF$53="Leve"),CONCATENATE("R7C",'Mapa final'!$T$53),"")</f>
        <v/>
      </c>
      <c r="O42" s="64" t="str">
        <f>IF(AND('Mapa final'!$AD$54="Baja",'Mapa final'!$AF$54="Leve"),CONCATENATE("R7C",'Mapa final'!$T$54),"")</f>
        <v/>
      </c>
      <c r="P42" s="53" t="str">
        <f>IF(AND('Mapa final'!$AD$49="Baja",'Mapa final'!$AF$49="Menor"),CONCATENATE("R7C",'Mapa final'!$T$49),"")</f>
        <v/>
      </c>
      <c r="Q42" s="54" t="str">
        <f>IF(AND('Mapa final'!$AD$50="Baja",'Mapa final'!$AF$50="Menor"),CONCATENATE("R7C",'Mapa final'!$T$50),"")</f>
        <v/>
      </c>
      <c r="R42" s="54" t="str">
        <f>IF(AND('Mapa final'!$AD$51="Baja",'Mapa final'!$AF$51="Menor"),CONCATENATE("R7C",'Mapa final'!$T$51),"")</f>
        <v/>
      </c>
      <c r="S42" s="54" t="str">
        <f>IF(AND('Mapa final'!$AD$52="Baja",'Mapa final'!$AF$52="Menor"),CONCATENATE("R7C",'Mapa final'!$T$52),"")</f>
        <v/>
      </c>
      <c r="T42" s="54" t="str">
        <f>IF(AND('Mapa final'!$AD$53="Baja",'Mapa final'!$AF$53="Menor"),CONCATENATE("R7C",'Mapa final'!$T$53),"")</f>
        <v/>
      </c>
      <c r="U42" s="55" t="str">
        <f>IF(AND('Mapa final'!$AD$54="Baja",'Mapa final'!$AF$54="Menor"),CONCATENATE("R7C",'Mapa final'!$T$54),"")</f>
        <v/>
      </c>
      <c r="V42" s="53" t="str">
        <f>IF(AND('Mapa final'!$AD$49="Baja",'Mapa final'!$AF$49="Moderado"),CONCATENATE("R7C",'Mapa final'!$T$49),"")</f>
        <v/>
      </c>
      <c r="W42" s="54" t="str">
        <f>IF(AND('Mapa final'!$AD$50="Baja",'Mapa final'!$AF$50="Moderado"),CONCATENATE("R7C",'Mapa final'!$T$50),"")</f>
        <v/>
      </c>
      <c r="X42" s="54" t="str">
        <f>IF(AND('Mapa final'!$AD$51="Baja",'Mapa final'!$AF$51="Moderado"),CONCATENATE("R7C",'Mapa final'!$T$51),"")</f>
        <v/>
      </c>
      <c r="Y42" s="54" t="str">
        <f>IF(AND('Mapa final'!$AD$52="Baja",'Mapa final'!$AF$52="Moderado"),CONCATENATE("R7C",'Mapa final'!$T$52),"")</f>
        <v/>
      </c>
      <c r="Z42" s="54" t="str">
        <f>IF(AND('Mapa final'!$AD$53="Baja",'Mapa final'!$AF$53="Moderado"),CONCATENATE("R7C",'Mapa final'!$T$53),"")</f>
        <v/>
      </c>
      <c r="AA42" s="55" t="str">
        <f>IF(AND('Mapa final'!$AD$54="Baja",'Mapa final'!$AF$54="Moderado"),CONCATENATE("R7C",'Mapa final'!$T$54),"")</f>
        <v/>
      </c>
      <c r="AB42" s="38" t="str">
        <f>IF(AND('Mapa final'!$AD$49="Baja",'Mapa final'!$AF$49="Mayor"),CONCATENATE("R7C",'Mapa final'!$T$49),"")</f>
        <v/>
      </c>
      <c r="AC42" s="39" t="str">
        <f>IF(AND('Mapa final'!$AD$50="Baja",'Mapa final'!$AF$50="Mayor"),CONCATENATE("R7C",'Mapa final'!$T$50),"")</f>
        <v/>
      </c>
      <c r="AD42" s="39" t="str">
        <f>IF(AND('Mapa final'!$AD$51="Baja",'Mapa final'!$AF$51="Mayor"),CONCATENATE("R7C",'Mapa final'!$T$51),"")</f>
        <v/>
      </c>
      <c r="AE42" s="39" t="str">
        <f>IF(AND('Mapa final'!$AD$52="Baja",'Mapa final'!$AF$52="Mayor"),CONCATENATE("R7C",'Mapa final'!$T$52),"")</f>
        <v/>
      </c>
      <c r="AF42" s="39" t="str">
        <f>IF(AND('Mapa final'!$AD$53="Baja",'Mapa final'!$AF$53="Mayor"),CONCATENATE("R7C",'Mapa final'!$T$53),"")</f>
        <v/>
      </c>
      <c r="AG42" s="40" t="str">
        <f>IF(AND('Mapa final'!$AD$54="Baja",'Mapa final'!$AF$54="Mayor"),CONCATENATE("R7C",'Mapa final'!$T$54),"")</f>
        <v/>
      </c>
      <c r="AH42" s="41" t="str">
        <f>IF(AND('Mapa final'!$AD$49="Baja",'Mapa final'!$AF$49="Catastrófico"),CONCATENATE("R7C",'Mapa final'!$T$49),"")</f>
        <v/>
      </c>
      <c r="AI42" s="42" t="str">
        <f>IF(AND('Mapa final'!$AD$50="Baja",'Mapa final'!$AF$50="Catastrófico"),CONCATENATE("R7C",'Mapa final'!$T$50),"")</f>
        <v/>
      </c>
      <c r="AJ42" s="42" t="str">
        <f>IF(AND('Mapa final'!$AD$51="Baja",'Mapa final'!$AF$51="Catastrófico"),CONCATENATE("R7C",'Mapa final'!$T$51),"")</f>
        <v/>
      </c>
      <c r="AK42" s="42" t="str">
        <f>IF(AND('Mapa final'!$AD$52="Baja",'Mapa final'!$AF$52="Catastrófico"),CONCATENATE("R7C",'Mapa final'!$T$52),"")</f>
        <v/>
      </c>
      <c r="AL42" s="42" t="str">
        <f>IF(AND('Mapa final'!$AD$53="Baja",'Mapa final'!$AF$53="Catastrófico"),CONCATENATE("R7C",'Mapa final'!$T$53),"")</f>
        <v/>
      </c>
      <c r="AM42" s="43" t="str">
        <f>IF(AND('Mapa final'!$AD$54="Baja",'Mapa final'!$AF$54="Catastrófico"),CONCATENATE("R7C",'Mapa final'!$T$54),"")</f>
        <v/>
      </c>
      <c r="AN42" s="69"/>
      <c r="AO42" s="518"/>
      <c r="AP42" s="519"/>
      <c r="AQ42" s="519"/>
      <c r="AR42" s="519"/>
      <c r="AS42" s="519"/>
      <c r="AT42" s="520"/>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399"/>
      <c r="C43" s="399"/>
      <c r="D43" s="400"/>
      <c r="E43" s="498"/>
      <c r="F43" s="497"/>
      <c r="G43" s="497"/>
      <c r="H43" s="497"/>
      <c r="I43" s="497"/>
      <c r="J43" s="62" t="str">
        <f>IF(AND('Mapa final'!$AD$55="Baja",'Mapa final'!$AF$55="Leve"),CONCATENATE("R8C",'Mapa final'!$T$55),"")</f>
        <v/>
      </c>
      <c r="K43" s="63" t="str">
        <f>IF(AND('Mapa final'!$AD$56="Baja",'Mapa final'!$AF$56="Leve"),CONCATENATE("R8C",'Mapa final'!$T$56),"")</f>
        <v/>
      </c>
      <c r="L43" s="63" t="str">
        <f>IF(AND('Mapa final'!$AD$57="Baja",'Mapa final'!$AF$57="Leve"),CONCATENATE("R8C",'Mapa final'!$T$57),"")</f>
        <v/>
      </c>
      <c r="M43" s="63" t="str">
        <f>IF(AND('Mapa final'!$AD$58="Baja",'Mapa final'!$AF$58="Leve"),CONCATENATE("R8C",'Mapa final'!$T$58),"")</f>
        <v/>
      </c>
      <c r="N43" s="63" t="str">
        <f>IF(AND('Mapa final'!$AD$59="Baja",'Mapa final'!$AF$59="Leve"),CONCATENATE("R8C",'Mapa final'!$T$59),"")</f>
        <v/>
      </c>
      <c r="O43" s="64" t="str">
        <f>IF(AND('Mapa final'!$AD$60="Baja",'Mapa final'!$AF$60="Leve"),CONCATENATE("R8C",'Mapa final'!$T$60),"")</f>
        <v/>
      </c>
      <c r="P43" s="53" t="str">
        <f>IF(AND('Mapa final'!$AD$55="Baja",'Mapa final'!$AF$55="Menor"),CONCATENATE("R8C",'Mapa final'!$T$55),"")</f>
        <v/>
      </c>
      <c r="Q43" s="54" t="str">
        <f>IF(AND('Mapa final'!$AD$56="Baja",'Mapa final'!$AF$56="Menor"),CONCATENATE("R8C",'Mapa final'!$T$56),"")</f>
        <v/>
      </c>
      <c r="R43" s="54" t="str">
        <f>IF(AND('Mapa final'!$AD$57="Baja",'Mapa final'!$AF$57="Menor"),CONCATENATE("R8C",'Mapa final'!$T$57),"")</f>
        <v/>
      </c>
      <c r="S43" s="54" t="str">
        <f>IF(AND('Mapa final'!$AD$58="Baja",'Mapa final'!$AF$58="Menor"),CONCATENATE("R8C",'Mapa final'!$T$58),"")</f>
        <v/>
      </c>
      <c r="T43" s="54" t="str">
        <f>IF(AND('Mapa final'!$AD$59="Baja",'Mapa final'!$AF$59="Menor"),CONCATENATE("R8C",'Mapa final'!$T$59),"")</f>
        <v/>
      </c>
      <c r="U43" s="55" t="str">
        <f>IF(AND('Mapa final'!$AD$60="Baja",'Mapa final'!$AF$60="Menor"),CONCATENATE("R8C",'Mapa final'!$T$60),"")</f>
        <v/>
      </c>
      <c r="V43" s="53" t="str">
        <f>IF(AND('Mapa final'!$AD$55="Baja",'Mapa final'!$AF$55="Moderado"),CONCATENATE("R8C",'Mapa final'!$T$55),"")</f>
        <v/>
      </c>
      <c r="W43" s="54" t="str">
        <f>IF(AND('Mapa final'!$AD$56="Baja",'Mapa final'!$AF$56="Moderado"),CONCATENATE("R8C",'Mapa final'!$T$56),"")</f>
        <v/>
      </c>
      <c r="X43" s="54" t="str">
        <f>IF(AND('Mapa final'!$AD$57="Baja",'Mapa final'!$AF$57="Moderado"),CONCATENATE("R8C",'Mapa final'!$T$57),"")</f>
        <v/>
      </c>
      <c r="Y43" s="54" t="str">
        <f>IF(AND('Mapa final'!$AD$58="Baja",'Mapa final'!$AF$58="Moderado"),CONCATENATE("R8C",'Mapa final'!$T$58),"")</f>
        <v/>
      </c>
      <c r="Z43" s="54" t="str">
        <f>IF(AND('Mapa final'!$AD$59="Baja",'Mapa final'!$AF$59="Moderado"),CONCATENATE("R8C",'Mapa final'!$T$59),"")</f>
        <v/>
      </c>
      <c r="AA43" s="55" t="str">
        <f>IF(AND('Mapa final'!$AD$60="Baja",'Mapa final'!$AF$60="Moderado"),CONCATENATE("R8C",'Mapa final'!$T$60),"")</f>
        <v/>
      </c>
      <c r="AB43" s="38" t="str">
        <f>IF(AND('Mapa final'!$AD$55="Baja",'Mapa final'!$AF$55="Mayor"),CONCATENATE("R8C",'Mapa final'!$T$55),"")</f>
        <v/>
      </c>
      <c r="AC43" s="39" t="str">
        <f>IF(AND('Mapa final'!$AD$56="Baja",'Mapa final'!$AF$56="Mayor"),CONCATENATE("R8C",'Mapa final'!$T$56),"")</f>
        <v/>
      </c>
      <c r="AD43" s="39" t="str">
        <f>IF(AND('Mapa final'!$AD$57="Baja",'Mapa final'!$AF$57="Mayor"),CONCATENATE("R8C",'Mapa final'!$T$57),"")</f>
        <v/>
      </c>
      <c r="AE43" s="39" t="str">
        <f>IF(AND('Mapa final'!$AD$58="Baja",'Mapa final'!$AF$58="Mayor"),CONCATENATE("R8C",'Mapa final'!$T$58),"")</f>
        <v/>
      </c>
      <c r="AF43" s="39" t="str">
        <f>IF(AND('Mapa final'!$AD$59="Baja",'Mapa final'!$AF$59="Mayor"),CONCATENATE("R8C",'Mapa final'!$T$59),"")</f>
        <v/>
      </c>
      <c r="AG43" s="40" t="str">
        <f>IF(AND('Mapa final'!$AD$60="Baja",'Mapa final'!$AF$60="Mayor"),CONCATENATE("R8C",'Mapa final'!$T$60),"")</f>
        <v/>
      </c>
      <c r="AH43" s="41" t="str">
        <f>IF(AND('Mapa final'!$AD$55="Baja",'Mapa final'!$AF$55="Catastrófico"),CONCATENATE("R8C",'Mapa final'!$T$55),"")</f>
        <v/>
      </c>
      <c r="AI43" s="42" t="str">
        <f>IF(AND('Mapa final'!$AD$56="Baja",'Mapa final'!$AF$56="Catastrófico"),CONCATENATE("R8C",'Mapa final'!$T$56),"")</f>
        <v/>
      </c>
      <c r="AJ43" s="42" t="str">
        <f>IF(AND('Mapa final'!$AD$57="Baja",'Mapa final'!$AF$57="Catastrófico"),CONCATENATE("R8C",'Mapa final'!$T$57),"")</f>
        <v/>
      </c>
      <c r="AK43" s="42" t="str">
        <f>IF(AND('Mapa final'!$AD$58="Baja",'Mapa final'!$AF$58="Catastrófico"),CONCATENATE("R8C",'Mapa final'!$T$58),"")</f>
        <v/>
      </c>
      <c r="AL43" s="42" t="str">
        <f>IF(AND('Mapa final'!$AD$59="Baja",'Mapa final'!$AF$59="Catastrófico"),CONCATENATE("R8C",'Mapa final'!$T$59),"")</f>
        <v/>
      </c>
      <c r="AM43" s="43" t="str">
        <f>IF(AND('Mapa final'!$AD$60="Baja",'Mapa final'!$AF$60="Catastrófico"),CONCATENATE("R8C",'Mapa final'!$T$60),"")</f>
        <v/>
      </c>
      <c r="AN43" s="69"/>
      <c r="AO43" s="518"/>
      <c r="AP43" s="519"/>
      <c r="AQ43" s="519"/>
      <c r="AR43" s="519"/>
      <c r="AS43" s="519"/>
      <c r="AT43" s="520"/>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399"/>
      <c r="C44" s="399"/>
      <c r="D44" s="400"/>
      <c r="E44" s="498"/>
      <c r="F44" s="497"/>
      <c r="G44" s="497"/>
      <c r="H44" s="497"/>
      <c r="I44" s="497"/>
      <c r="J44" s="62" t="str">
        <f>IF(AND('Mapa final'!$AD$61="Baja",'Mapa final'!$AF$61="Leve"),CONCATENATE("R9C",'Mapa final'!$T$61),"")</f>
        <v/>
      </c>
      <c r="K44" s="63" t="str">
        <f>IF(AND('Mapa final'!$AD$62="Baja",'Mapa final'!$AF$62="Leve"),CONCATENATE("R9C",'Mapa final'!$T$62),"")</f>
        <v/>
      </c>
      <c r="L44" s="63" t="str">
        <f>IF(AND('Mapa final'!$AD$63="Baja",'Mapa final'!$AF$63="Leve"),CONCATENATE("R9C",'Mapa final'!$T$63),"")</f>
        <v/>
      </c>
      <c r="M44" s="63" t="str">
        <f>IF(AND('Mapa final'!$AD$64="Baja",'Mapa final'!$AF$64="Leve"),CONCATENATE("R9C",'Mapa final'!$T$64),"")</f>
        <v/>
      </c>
      <c r="N44" s="63" t="str">
        <f>IF(AND('Mapa final'!$AD$65="Baja",'Mapa final'!$AF$65="Leve"),CONCATENATE("R9C",'Mapa final'!$T$65),"")</f>
        <v/>
      </c>
      <c r="O44" s="64" t="str">
        <f>IF(AND('Mapa final'!$AD$66="Baja",'Mapa final'!$AF$66="Leve"),CONCATENATE("R9C",'Mapa final'!$T$66),"")</f>
        <v/>
      </c>
      <c r="P44" s="53" t="str">
        <f>IF(AND('Mapa final'!$AD$61="Baja",'Mapa final'!$AF$61="Menor"),CONCATENATE("R9C",'Mapa final'!$T$61),"")</f>
        <v/>
      </c>
      <c r="Q44" s="54" t="str">
        <f>IF(AND('Mapa final'!$AD$62="Baja",'Mapa final'!$AF$62="Menor"),CONCATENATE("R9C",'Mapa final'!$T$62),"")</f>
        <v/>
      </c>
      <c r="R44" s="54" t="str">
        <f>IF(AND('Mapa final'!$AD$63="Baja",'Mapa final'!$AF$63="Menor"),CONCATENATE("R9C",'Mapa final'!$T$63),"")</f>
        <v/>
      </c>
      <c r="S44" s="54" t="str">
        <f>IF(AND('Mapa final'!$AD$64="Baja",'Mapa final'!$AF$64="Menor"),CONCATENATE("R9C",'Mapa final'!$T$64),"")</f>
        <v/>
      </c>
      <c r="T44" s="54" t="str">
        <f>IF(AND('Mapa final'!$AD$65="Baja",'Mapa final'!$AF$65="Menor"),CONCATENATE("R9C",'Mapa final'!$T$65),"")</f>
        <v/>
      </c>
      <c r="U44" s="55" t="str">
        <f>IF(AND('Mapa final'!$AD$66="Baja",'Mapa final'!$AF$66="Menor"),CONCATENATE("R9C",'Mapa final'!$T$66),"")</f>
        <v/>
      </c>
      <c r="V44" s="53" t="str">
        <f>IF(AND('Mapa final'!$AD$61="Baja",'Mapa final'!$AF$61="Moderado"),CONCATENATE("R9C",'Mapa final'!$T$61),"")</f>
        <v/>
      </c>
      <c r="W44" s="54" t="str">
        <f>IF(AND('Mapa final'!$AD$62="Baja",'Mapa final'!$AF$62="Moderado"),CONCATENATE("R9C",'Mapa final'!$T$62),"")</f>
        <v/>
      </c>
      <c r="X44" s="54" t="str">
        <f>IF(AND('Mapa final'!$AD$63="Baja",'Mapa final'!$AF$63="Moderado"),CONCATENATE("R9C",'Mapa final'!$T$63),"")</f>
        <v/>
      </c>
      <c r="Y44" s="54" t="str">
        <f>IF(AND('Mapa final'!$AD$64="Baja",'Mapa final'!$AF$64="Moderado"),CONCATENATE("R9C",'Mapa final'!$T$64),"")</f>
        <v/>
      </c>
      <c r="Z44" s="54" t="str">
        <f>IF(AND('Mapa final'!$AD$65="Baja",'Mapa final'!$AF$65="Moderado"),CONCATENATE("R9C",'Mapa final'!$T$65),"")</f>
        <v/>
      </c>
      <c r="AA44" s="55" t="str">
        <f>IF(AND('Mapa final'!$AD$66="Baja",'Mapa final'!$AF$66="Moderado"),CONCATENATE("R9C",'Mapa final'!$T$66),"")</f>
        <v/>
      </c>
      <c r="AB44" s="38" t="str">
        <f>IF(AND('Mapa final'!$AD$61="Baja",'Mapa final'!$AF$61="Mayor"),CONCATENATE("R9C",'Mapa final'!$T$61),"")</f>
        <v/>
      </c>
      <c r="AC44" s="39" t="str">
        <f>IF(AND('Mapa final'!$AD$62="Baja",'Mapa final'!$AF$62="Mayor"),CONCATENATE("R9C",'Mapa final'!$T$62),"")</f>
        <v/>
      </c>
      <c r="AD44" s="39" t="str">
        <f>IF(AND('Mapa final'!$AD$63="Baja",'Mapa final'!$AF$63="Mayor"),CONCATENATE("R9C",'Mapa final'!$T$63),"")</f>
        <v/>
      </c>
      <c r="AE44" s="39" t="str">
        <f>IF(AND('Mapa final'!$AD$64="Baja",'Mapa final'!$AF$64="Mayor"),CONCATENATE("R9C",'Mapa final'!$T$64),"")</f>
        <v/>
      </c>
      <c r="AF44" s="39" t="str">
        <f>IF(AND('Mapa final'!$AD$65="Baja",'Mapa final'!$AF$65="Mayor"),CONCATENATE("R9C",'Mapa final'!$T$65),"")</f>
        <v/>
      </c>
      <c r="AG44" s="40" t="str">
        <f>IF(AND('Mapa final'!$AD$66="Baja",'Mapa final'!$AF$66="Mayor"),CONCATENATE("R9C",'Mapa final'!$T$66),"")</f>
        <v/>
      </c>
      <c r="AH44" s="41" t="str">
        <f>IF(AND('Mapa final'!$AD$61="Baja",'Mapa final'!$AF$61="Catastrófico"),CONCATENATE("R9C",'Mapa final'!$T$61),"")</f>
        <v/>
      </c>
      <c r="AI44" s="42" t="str">
        <f>IF(AND('Mapa final'!$AD$62="Baja",'Mapa final'!$AF$62="Catastrófico"),CONCATENATE("R9C",'Mapa final'!$T$62),"")</f>
        <v/>
      </c>
      <c r="AJ44" s="42" t="str">
        <f>IF(AND('Mapa final'!$AD$63="Baja",'Mapa final'!$AF$63="Catastrófico"),CONCATENATE("R9C",'Mapa final'!$T$63),"")</f>
        <v/>
      </c>
      <c r="AK44" s="42" t="str">
        <f>IF(AND('Mapa final'!$AD$64="Baja",'Mapa final'!$AF$64="Catastrófico"),CONCATENATE("R9C",'Mapa final'!$T$64),"")</f>
        <v/>
      </c>
      <c r="AL44" s="42" t="str">
        <f>IF(AND('Mapa final'!$AD$65="Baja",'Mapa final'!$AF$65="Catastrófico"),CONCATENATE("R9C",'Mapa final'!$T$65),"")</f>
        <v/>
      </c>
      <c r="AM44" s="43" t="str">
        <f>IF(AND('Mapa final'!$AD$66="Baja",'Mapa final'!$AF$66="Catastrófico"),CONCATENATE("R9C",'Mapa final'!$T$66),"")</f>
        <v/>
      </c>
      <c r="AN44" s="69"/>
      <c r="AO44" s="518"/>
      <c r="AP44" s="519"/>
      <c r="AQ44" s="519"/>
      <c r="AR44" s="519"/>
      <c r="AS44" s="519"/>
      <c r="AT44" s="520"/>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399"/>
      <c r="C45" s="399"/>
      <c r="D45" s="400"/>
      <c r="E45" s="499"/>
      <c r="F45" s="500"/>
      <c r="G45" s="500"/>
      <c r="H45" s="500"/>
      <c r="I45" s="500"/>
      <c r="J45" s="65" t="str">
        <f>IF(AND('Mapa final'!$AD$67="Baja",'Mapa final'!$AF$67="Leve"),CONCATENATE("R10C",'Mapa final'!$T$67),"")</f>
        <v/>
      </c>
      <c r="K45" s="66" t="str">
        <f>IF(AND('Mapa final'!$AD$68="Baja",'Mapa final'!$AF$68="Leve"),CONCATENATE("R10C",'Mapa final'!$T$68),"")</f>
        <v/>
      </c>
      <c r="L45" s="66" t="str">
        <f>IF(AND('Mapa final'!$AD$69="Baja",'Mapa final'!$AF$69="Leve"),CONCATENATE("R10C",'Mapa final'!$T$69),"")</f>
        <v/>
      </c>
      <c r="M45" s="66" t="str">
        <f>IF(AND('Mapa final'!$AD$70="Baja",'Mapa final'!$AF$70="Leve"),CONCATENATE("R10C",'Mapa final'!$T$70),"")</f>
        <v/>
      </c>
      <c r="N45" s="66" t="str">
        <f>IF(AND('Mapa final'!$AD$71="Baja",'Mapa final'!$AF$71="Leve"),CONCATENATE("R10C",'Mapa final'!$T$71),"")</f>
        <v/>
      </c>
      <c r="O45" s="67" t="str">
        <f>IF(AND('Mapa final'!$AD$72="Baja",'Mapa final'!$AF$72="Leve"),CONCATENATE("R10C",'Mapa final'!$T$72),"")</f>
        <v/>
      </c>
      <c r="P45" s="53" t="str">
        <f>IF(AND('Mapa final'!$AD$67="Baja",'Mapa final'!$AF$67="Menor"),CONCATENATE("R10C",'Mapa final'!$T$67),"")</f>
        <v/>
      </c>
      <c r="Q45" s="54" t="str">
        <f>IF(AND('Mapa final'!$AD$68="Baja",'Mapa final'!$AF$68="Menor"),CONCATENATE("R10C",'Mapa final'!$T$68),"")</f>
        <v/>
      </c>
      <c r="R45" s="54" t="str">
        <f>IF(AND('Mapa final'!$AD$69="Baja",'Mapa final'!$AF$69="Menor"),CONCATENATE("R10C",'Mapa final'!$T$69),"")</f>
        <v/>
      </c>
      <c r="S45" s="54" t="str">
        <f>IF(AND('Mapa final'!$AD$70="Baja",'Mapa final'!$AF$70="Menor"),CONCATENATE("R10C",'Mapa final'!$T$70),"")</f>
        <v/>
      </c>
      <c r="T45" s="54" t="str">
        <f>IF(AND('Mapa final'!$AD$71="Baja",'Mapa final'!$AF$71="Menor"),CONCATENATE("R10C",'Mapa final'!$T$71),"")</f>
        <v/>
      </c>
      <c r="U45" s="55" t="str">
        <f>IF(AND('Mapa final'!$AD$72="Baja",'Mapa final'!$AF$72="Menor"),CONCATENATE("R10C",'Mapa final'!$T$72),"")</f>
        <v/>
      </c>
      <c r="V45" s="56" t="str">
        <f>IF(AND('Mapa final'!$AD$67="Baja",'Mapa final'!$AF$67="Moderado"),CONCATENATE("R10C",'Mapa final'!$T$67),"")</f>
        <v/>
      </c>
      <c r="W45" s="57" t="str">
        <f>IF(AND('Mapa final'!$AD$68="Baja",'Mapa final'!$AF$68="Moderado"),CONCATENATE("R10C",'Mapa final'!$T$68),"")</f>
        <v/>
      </c>
      <c r="X45" s="57" t="str">
        <f>IF(AND('Mapa final'!$AD$69="Baja",'Mapa final'!$AF$69="Moderado"),CONCATENATE("R10C",'Mapa final'!$T$69),"")</f>
        <v/>
      </c>
      <c r="Y45" s="57" t="str">
        <f>IF(AND('Mapa final'!$AD$70="Baja",'Mapa final'!$AF$70="Moderado"),CONCATENATE("R10C",'Mapa final'!$T$70),"")</f>
        <v/>
      </c>
      <c r="Z45" s="57" t="str">
        <f>IF(AND('Mapa final'!$AD$71="Baja",'Mapa final'!$AF$71="Moderado"),CONCATENATE("R10C",'Mapa final'!$T$71),"")</f>
        <v/>
      </c>
      <c r="AA45" s="58" t="str">
        <f>IF(AND('Mapa final'!$AD$72="Baja",'Mapa final'!$AF$72="Moderado"),CONCATENATE("R10C",'Mapa final'!$T$72),"")</f>
        <v/>
      </c>
      <c r="AB45" s="44" t="str">
        <f>IF(AND('Mapa final'!$AD$67="Baja",'Mapa final'!$AF$67="Mayor"),CONCATENATE("R10C",'Mapa final'!$T$67),"")</f>
        <v/>
      </c>
      <c r="AC45" s="45" t="str">
        <f>IF(AND('Mapa final'!$AD$68="Baja",'Mapa final'!$AF$68="Mayor"),CONCATENATE("R10C",'Mapa final'!$T$68),"")</f>
        <v/>
      </c>
      <c r="AD45" s="45" t="str">
        <f>IF(AND('Mapa final'!$AD$69="Baja",'Mapa final'!$AF$69="Mayor"),CONCATENATE("R10C",'Mapa final'!$T$69),"")</f>
        <v/>
      </c>
      <c r="AE45" s="45" t="str">
        <f>IF(AND('Mapa final'!$AD$70="Baja",'Mapa final'!$AF$70="Mayor"),CONCATENATE("R10C",'Mapa final'!$T$70),"")</f>
        <v/>
      </c>
      <c r="AF45" s="45" t="str">
        <f>IF(AND('Mapa final'!$AD$71="Baja",'Mapa final'!$AF$71="Mayor"),CONCATENATE("R10C",'Mapa final'!$T$71),"")</f>
        <v/>
      </c>
      <c r="AG45" s="46" t="str">
        <f>IF(AND('Mapa final'!$AD$72="Baja",'Mapa final'!$AF$72="Mayor"),CONCATENATE("R10C",'Mapa final'!$T$72),"")</f>
        <v/>
      </c>
      <c r="AH45" s="47" t="str">
        <f>IF(AND('Mapa final'!$AD$67="Baja",'Mapa final'!$AF$67="Catastrófico"),CONCATENATE("R10C",'Mapa final'!$T$67),"")</f>
        <v/>
      </c>
      <c r="AI45" s="48" t="str">
        <f>IF(AND('Mapa final'!$AD$68="Baja",'Mapa final'!$AF$68="Catastrófico"),CONCATENATE("R10C",'Mapa final'!$T$68),"")</f>
        <v/>
      </c>
      <c r="AJ45" s="48" t="str">
        <f>IF(AND('Mapa final'!$AD$69="Baja",'Mapa final'!$AF$69="Catastrófico"),CONCATENATE("R10C",'Mapa final'!$T$69),"")</f>
        <v/>
      </c>
      <c r="AK45" s="48" t="str">
        <f>IF(AND('Mapa final'!$AD$70="Baja",'Mapa final'!$AF$70="Catastrófico"),CONCATENATE("R10C",'Mapa final'!$T$70),"")</f>
        <v/>
      </c>
      <c r="AL45" s="48" t="str">
        <f>IF(AND('Mapa final'!$AD$71="Baja",'Mapa final'!$AF$71="Catastrófico"),CONCATENATE("R10C",'Mapa final'!$T$71),"")</f>
        <v/>
      </c>
      <c r="AM45" s="49" t="str">
        <f>IF(AND('Mapa final'!$AD$72="Baja",'Mapa final'!$AF$72="Catastrófico"),CONCATENATE("R10C",'Mapa final'!$T$72),"")</f>
        <v/>
      </c>
      <c r="AN45" s="69"/>
      <c r="AO45" s="521"/>
      <c r="AP45" s="522"/>
      <c r="AQ45" s="522"/>
      <c r="AR45" s="522"/>
      <c r="AS45" s="522"/>
      <c r="AT45" s="523"/>
    </row>
    <row r="46" spans="1:80" ht="46.5" customHeight="1" x14ac:dyDescent="0.35">
      <c r="A46" s="69"/>
      <c r="B46" s="399"/>
      <c r="C46" s="399"/>
      <c r="D46" s="400"/>
      <c r="E46" s="494" t="s">
        <v>113</v>
      </c>
      <c r="F46" s="495"/>
      <c r="G46" s="495"/>
      <c r="H46" s="495"/>
      <c r="I46" s="512"/>
      <c r="J46" s="59" t="str">
        <f>IF(AND('Mapa final'!$AD$13="Muy Baja",'Mapa final'!$AF$13="Leve"),CONCATENATE("R1C",'Mapa final'!$T$13),"")</f>
        <v/>
      </c>
      <c r="K46" s="60" t="str">
        <f>IF(AND('Mapa final'!$AD$14="Muy Baja",'Mapa final'!$AF$14="Leve"),CONCATENATE("R1C",'Mapa final'!$T$14),"")</f>
        <v/>
      </c>
      <c r="L46" s="60" t="str">
        <f>IF(AND('Mapa final'!$AD$15="Muy Baja",'Mapa final'!$AF$15="Leve"),CONCATENATE("R1C",'Mapa final'!$T$15),"")</f>
        <v/>
      </c>
      <c r="M46" s="60" t="str">
        <f>IF(AND('Mapa final'!$AD$16="Muy Baja",'Mapa final'!$AF$16="Leve"),CONCATENATE("R1C",'Mapa final'!$T$16),"")</f>
        <v/>
      </c>
      <c r="N46" s="60" t="str">
        <f>IF(AND('Mapa final'!$AD$17="Muy Baja",'Mapa final'!$AF$17="Leve"),CONCATENATE("R1C",'Mapa final'!$T$17),"")</f>
        <v/>
      </c>
      <c r="O46" s="61" t="str">
        <f>IF(AND('Mapa final'!$AD$18="Muy Baja",'Mapa final'!$AF$18="Leve"),CONCATENATE("R1C",'Mapa final'!$T$18),"")</f>
        <v/>
      </c>
      <c r="P46" s="59" t="str">
        <f>IF(AND('Mapa final'!$AD$13="Muy Baja",'Mapa final'!$AF$13="Menor"),CONCATENATE("R1C",'Mapa final'!$T$13),"")</f>
        <v/>
      </c>
      <c r="Q46" s="60" t="str">
        <f>IF(AND('Mapa final'!$AD$14="Muy Baja",'Mapa final'!$AF$14="Menor"),CONCATENATE("R1C",'Mapa final'!$T$14),"")</f>
        <v/>
      </c>
      <c r="R46" s="60" t="str">
        <f>IF(AND('Mapa final'!$AD$15="Muy Baja",'Mapa final'!$AF$15="Menor"),CONCATENATE("R1C",'Mapa final'!$T$15),"")</f>
        <v/>
      </c>
      <c r="S46" s="60" t="str">
        <f>IF(AND('Mapa final'!$AD$16="Muy Baja",'Mapa final'!$AF$16="Menor"),CONCATENATE("R1C",'Mapa final'!$T$16),"")</f>
        <v/>
      </c>
      <c r="T46" s="60" t="str">
        <f>IF(AND('Mapa final'!$AD$17="Muy Baja",'Mapa final'!$AF$17="Menor"),CONCATENATE("R1C",'Mapa final'!$T$17),"")</f>
        <v/>
      </c>
      <c r="U46" s="61" t="str">
        <f>IF(AND('Mapa final'!$AD$18="Muy Baja",'Mapa final'!$AF$18="Menor"),CONCATENATE("R1C",'Mapa final'!$T$18),"")</f>
        <v/>
      </c>
      <c r="V46" s="50" t="str">
        <f>IF(AND('Mapa final'!$AD$13="Muy Baja",'Mapa final'!$AF$13="Moderado"),CONCATENATE("R1C",'Mapa final'!$T$13),"")</f>
        <v/>
      </c>
      <c r="W46" s="68" t="str">
        <f>IF(AND('Mapa final'!$AD$14="Muy Baja",'Mapa final'!$AF$14="Moderado"),CONCATENATE("R1C",'Mapa final'!$T$14),"")</f>
        <v/>
      </c>
      <c r="X46" s="51" t="str">
        <f>IF(AND('Mapa final'!$AD$15="Muy Baja",'Mapa final'!$AF$15="Moderado"),CONCATENATE("R1C",'Mapa final'!$T$15),"")</f>
        <v/>
      </c>
      <c r="Y46" s="51" t="str">
        <f>IF(AND('Mapa final'!$AD$16="Muy Baja",'Mapa final'!$AF$16="Moderado"),CONCATENATE("R1C",'Mapa final'!$T$16),"")</f>
        <v/>
      </c>
      <c r="Z46" s="51" t="str">
        <f>IF(AND('Mapa final'!$AD$17="Muy Baja",'Mapa final'!$AF$17="Moderado"),CONCATENATE("R1C",'Mapa final'!$T$17),"")</f>
        <v/>
      </c>
      <c r="AA46" s="52" t="str">
        <f>IF(AND('Mapa final'!$AD$18="Muy Baja",'Mapa final'!$AF$18="Moderado"),CONCATENATE("R1C",'Mapa final'!$T$18),"")</f>
        <v/>
      </c>
      <c r="AB46" s="32" t="str">
        <f>IF(AND('Mapa final'!$AD$13="Muy Baja",'Mapa final'!$AF$13="Mayor"),CONCATENATE("R1C",'Mapa final'!$T$13),"")</f>
        <v/>
      </c>
      <c r="AC46" s="33" t="str">
        <f>IF(AND('Mapa final'!$AD$14="Muy Baja",'Mapa final'!$AF$14="Mayor"),CONCATENATE("R1C",'Mapa final'!$T$14),"")</f>
        <v/>
      </c>
      <c r="AD46" s="33" t="str">
        <f>IF(AND('Mapa final'!$AD$15="Muy Baja",'Mapa final'!$AF$15="Mayor"),CONCATENATE("R1C",'Mapa final'!$T$15),"")</f>
        <v/>
      </c>
      <c r="AE46" s="33" t="str">
        <f>IF(AND('Mapa final'!$AD$16="Muy Baja",'Mapa final'!$AF$16="Mayor"),CONCATENATE("R1C",'Mapa final'!$T$16),"")</f>
        <v/>
      </c>
      <c r="AF46" s="33" t="str">
        <f>IF(AND('Mapa final'!$AD$17="Muy Baja",'Mapa final'!$AF$17="Mayor"),CONCATENATE("R1C",'Mapa final'!$T$17),"")</f>
        <v/>
      </c>
      <c r="AG46" s="34" t="str">
        <f>IF(AND('Mapa final'!$AD$18="Muy Baja",'Mapa final'!$AF$18="Mayor"),CONCATENATE("R1C",'Mapa final'!$T$18),"")</f>
        <v/>
      </c>
      <c r="AH46" s="35" t="str">
        <f>IF(AND('Mapa final'!$AD$13="Muy Baja",'Mapa final'!$AF$13="Catastrófico"),CONCATENATE("R1C",'Mapa final'!$T$13),"")</f>
        <v/>
      </c>
      <c r="AI46" s="36" t="str">
        <f>IF(AND('Mapa final'!$AD$14="Muy Baja",'Mapa final'!$AF$14="Catastrófico"),CONCATENATE("R1C",'Mapa final'!$T$14),"")</f>
        <v/>
      </c>
      <c r="AJ46" s="36" t="str">
        <f>IF(AND('Mapa final'!$AD$15="Muy Baja",'Mapa final'!$AF$15="Catastrófico"),CONCATENATE("R1C",'Mapa final'!$T$15),"")</f>
        <v/>
      </c>
      <c r="AK46" s="36" t="str">
        <f>IF(AND('Mapa final'!$AD$16="Muy Baja",'Mapa final'!$AF$16="Catastrófico"),CONCATENATE("R1C",'Mapa final'!$T$16),"")</f>
        <v/>
      </c>
      <c r="AL46" s="36" t="str">
        <f>IF(AND('Mapa final'!$AD$17="Muy Baja",'Mapa final'!$AF$17="Catastrófico"),CONCATENATE("R1C",'Mapa final'!$T$17),"")</f>
        <v/>
      </c>
      <c r="AM46" s="37" t="str">
        <f>IF(AND('Mapa final'!$AD$18="Muy Baja",'Mapa final'!$AF$18="Catastrófico"),CONCATENATE("R1C",'Mapa final'!$T$18),"")</f>
        <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399"/>
      <c r="C47" s="399"/>
      <c r="D47" s="400"/>
      <c r="E47" s="496"/>
      <c r="F47" s="497"/>
      <c r="G47" s="497"/>
      <c r="H47" s="497"/>
      <c r="I47" s="513"/>
      <c r="J47" s="62" t="str">
        <f>IF(AND('Mapa final'!$AD$19="Muy Baja",'Mapa final'!$AF$19="Leve"),CONCATENATE("R2C",'Mapa final'!$T$19),"")</f>
        <v/>
      </c>
      <c r="K47" s="63" t="str">
        <f>IF(AND('Mapa final'!$AD$20="Muy Baja",'Mapa final'!$AF$20="Leve"),CONCATENATE("R2C",'Mapa final'!$T$20),"")</f>
        <v/>
      </c>
      <c r="L47" s="63" t="str">
        <f>IF(AND('Mapa final'!$AD$21="Muy Baja",'Mapa final'!$AF$21="Leve"),CONCATENATE("R2C",'Mapa final'!$T$21),"")</f>
        <v/>
      </c>
      <c r="M47" s="63" t="str">
        <f>IF(AND('Mapa final'!$AD$22="Muy Baja",'Mapa final'!$AF$22="Leve"),CONCATENATE("R2C",'Mapa final'!$T$22),"")</f>
        <v/>
      </c>
      <c r="N47" s="63" t="str">
        <f>IF(AND('Mapa final'!$AD$23="Muy Baja",'Mapa final'!$AF$23="Leve"),CONCATENATE("R2C",'Mapa final'!$T$23),"")</f>
        <v/>
      </c>
      <c r="O47" s="64" t="str">
        <f>IF(AND('Mapa final'!$AD$24="Muy Baja",'Mapa final'!$AF$24="Leve"),CONCATENATE("R2C",'Mapa final'!$T$24),"")</f>
        <v/>
      </c>
      <c r="P47" s="62" t="str">
        <f>IF(AND('Mapa final'!$AD$19="Muy Baja",'Mapa final'!$AF$19="Menor"),CONCATENATE("R2C",'Mapa final'!$T$19),"")</f>
        <v/>
      </c>
      <c r="Q47" s="63" t="str">
        <f>IF(AND('Mapa final'!$AD$20="Muy Baja",'Mapa final'!$AF$20="Menor"),CONCATENATE("R2C",'Mapa final'!$T$20),"")</f>
        <v/>
      </c>
      <c r="R47" s="63" t="str">
        <f>IF(AND('Mapa final'!$AD$21="Muy Baja",'Mapa final'!$AF$21="Menor"),CONCATENATE("R2C",'Mapa final'!$T$21),"")</f>
        <v/>
      </c>
      <c r="S47" s="63" t="str">
        <f>IF(AND('Mapa final'!$AD$22="Muy Baja",'Mapa final'!$AF$22="Menor"),CONCATENATE("R2C",'Mapa final'!$T$22),"")</f>
        <v/>
      </c>
      <c r="T47" s="63" t="str">
        <f>IF(AND('Mapa final'!$AD$23="Muy Baja",'Mapa final'!$AF$23="Menor"),CONCATENATE("R2C",'Mapa final'!$T$23),"")</f>
        <v/>
      </c>
      <c r="U47" s="64" t="str">
        <f>IF(AND('Mapa final'!$AD$24="Muy Baja",'Mapa final'!$AF$24="Menor"),CONCATENATE("R2C",'Mapa final'!$T$24),"")</f>
        <v/>
      </c>
      <c r="V47" s="53" t="str">
        <f>IF(AND('Mapa final'!$AD$19="Muy Baja",'Mapa final'!$AF$19="Moderado"),CONCATENATE("R2C",'Mapa final'!$T$19),"")</f>
        <v/>
      </c>
      <c r="W47" s="54" t="str">
        <f>IF(AND('Mapa final'!$AD$20="Muy Baja",'Mapa final'!$AF$20="Moderado"),CONCATENATE("R2C",'Mapa final'!$T$20),"")</f>
        <v/>
      </c>
      <c r="X47" s="54" t="str">
        <f>IF(AND('Mapa final'!$AD$21="Muy Baja",'Mapa final'!$AF$21="Moderado"),CONCATENATE("R2C",'Mapa final'!$T$21),"")</f>
        <v/>
      </c>
      <c r="Y47" s="54" t="str">
        <f>IF(AND('Mapa final'!$AD$22="Muy Baja",'Mapa final'!$AF$22="Moderado"),CONCATENATE("R2C",'Mapa final'!$T$22),"")</f>
        <v/>
      </c>
      <c r="Z47" s="54" t="str">
        <f>IF(AND('Mapa final'!$AD$23="Muy Baja",'Mapa final'!$AF$23="Moderado"),CONCATENATE("R2C",'Mapa final'!$T$23),"")</f>
        <v/>
      </c>
      <c r="AA47" s="55" t="str">
        <f>IF(AND('Mapa final'!$AD$24="Muy Baja",'Mapa final'!$AF$24="Moderado"),CONCATENATE("R2C",'Mapa final'!$T$24),"")</f>
        <v/>
      </c>
      <c r="AB47" s="38" t="str">
        <f>IF(AND('Mapa final'!$AD$19="Muy Baja",'Mapa final'!$AF$19="Mayor"),CONCATENATE("R2C",'Mapa final'!$T$19),"")</f>
        <v/>
      </c>
      <c r="AC47" s="39" t="str">
        <f>IF(AND('Mapa final'!$AD$20="Muy Baja",'Mapa final'!$AF$20="Mayor"),CONCATENATE("R2C",'Mapa final'!$T$20),"")</f>
        <v/>
      </c>
      <c r="AD47" s="39" t="str">
        <f>IF(AND('Mapa final'!$AD$21="Muy Baja",'Mapa final'!$AF$21="Mayor"),CONCATENATE("R2C",'Mapa final'!$T$21),"")</f>
        <v/>
      </c>
      <c r="AE47" s="39" t="str">
        <f>IF(AND('Mapa final'!$AD$22="Muy Baja",'Mapa final'!$AF$22="Mayor"),CONCATENATE("R2C",'Mapa final'!$T$22),"")</f>
        <v/>
      </c>
      <c r="AF47" s="39" t="str">
        <f>IF(AND('Mapa final'!$AD$23="Muy Baja",'Mapa final'!$AF$23="Mayor"),CONCATENATE("R2C",'Mapa final'!$T$23),"")</f>
        <v/>
      </c>
      <c r="AG47" s="40" t="str">
        <f>IF(AND('Mapa final'!$AD$24="Muy Baja",'Mapa final'!$AF$24="Mayor"),CONCATENATE("R2C",'Mapa final'!$T$24),"")</f>
        <v/>
      </c>
      <c r="AH47" s="41" t="str">
        <f>IF(AND('Mapa final'!$AD$19="Muy Baja",'Mapa final'!$AF$19="Catastrófico"),CONCATENATE("R2C",'Mapa final'!$T$19),"")</f>
        <v/>
      </c>
      <c r="AI47" s="42" t="str">
        <f>IF(AND('Mapa final'!$AD$20="Muy Baja",'Mapa final'!$AF$20="Catastrófico"),CONCATENATE("R2C",'Mapa final'!$T$20),"")</f>
        <v/>
      </c>
      <c r="AJ47" s="42" t="str">
        <f>IF(AND('Mapa final'!$AD$21="Muy Baja",'Mapa final'!$AF$21="Catastrófico"),CONCATENATE("R2C",'Mapa final'!$T$21),"")</f>
        <v/>
      </c>
      <c r="AK47" s="42" t="str">
        <f>IF(AND('Mapa final'!$AD$22="Muy Baja",'Mapa final'!$AF$22="Catastrófico"),CONCATENATE("R2C",'Mapa final'!$T$22),"")</f>
        <v/>
      </c>
      <c r="AL47" s="42" t="str">
        <f>IF(AND('Mapa final'!$AD$23="Muy Baja",'Mapa final'!$AF$23="Catastrófico"),CONCATENATE("R2C",'Mapa final'!$T$23),"")</f>
        <v/>
      </c>
      <c r="AM47" s="43" t="str">
        <f>IF(AND('Mapa final'!$AD$24="Muy Baja",'Mapa final'!$AF$24="Catastrófico"),CONCATENATE("R2C",'Mapa final'!$T$24),"")</f>
        <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399"/>
      <c r="C48" s="399"/>
      <c r="D48" s="400"/>
      <c r="E48" s="496"/>
      <c r="F48" s="497"/>
      <c r="G48" s="497"/>
      <c r="H48" s="497"/>
      <c r="I48" s="513"/>
      <c r="J48" s="62" t="str">
        <f>IF(AND('Mapa final'!$AD$25="Muy Baja",'Mapa final'!$AF$25="Leve"),CONCATENATE("R3C",'Mapa final'!$T$25),"")</f>
        <v/>
      </c>
      <c r="K48" s="63" t="str">
        <f>IF(AND('Mapa final'!$AD$26="Muy Baja",'Mapa final'!$AF$26="Leve"),CONCATENATE("R3C",'Mapa final'!$T$26),"")</f>
        <v/>
      </c>
      <c r="L48" s="63" t="str">
        <f>IF(AND('Mapa final'!$AD$27="Muy Baja",'Mapa final'!$AF$27="Leve"),CONCATENATE("R3C",'Mapa final'!$T$27),"")</f>
        <v/>
      </c>
      <c r="M48" s="63" t="str">
        <f>IF(AND('Mapa final'!$AD$28="Muy Baja",'Mapa final'!$AF$28="Leve"),CONCATENATE("R3C",'Mapa final'!$T$28),"")</f>
        <v/>
      </c>
      <c r="N48" s="63" t="str">
        <f>IF(AND('Mapa final'!$AD$29="Muy Baja",'Mapa final'!$AF$29="Leve"),CONCATENATE("R3C",'Mapa final'!$T$29),"")</f>
        <v/>
      </c>
      <c r="O48" s="64" t="str">
        <f>IF(AND('Mapa final'!$AD$30="Muy Baja",'Mapa final'!$AF$30="Leve"),CONCATENATE("R3C",'Mapa final'!$T$30),"")</f>
        <v/>
      </c>
      <c r="P48" s="62" t="str">
        <f>IF(AND('Mapa final'!$AD$25="Muy Baja",'Mapa final'!$AF$25="Menor"),CONCATENATE("R3C",'Mapa final'!$T$25),"")</f>
        <v/>
      </c>
      <c r="Q48" s="63" t="str">
        <f>IF(AND('Mapa final'!$AD$26="Muy Baja",'Mapa final'!$AF$26="Menor"),CONCATENATE("R3C",'Mapa final'!$T$26),"")</f>
        <v/>
      </c>
      <c r="R48" s="63" t="str">
        <f>IF(AND('Mapa final'!$AD$27="Muy Baja",'Mapa final'!$AF$27="Menor"),CONCATENATE("R3C",'Mapa final'!$T$27),"")</f>
        <v/>
      </c>
      <c r="S48" s="63" t="str">
        <f>IF(AND('Mapa final'!$AD$28="Muy Baja",'Mapa final'!$AF$28="Menor"),CONCATENATE("R3C",'Mapa final'!$T$28),"")</f>
        <v/>
      </c>
      <c r="T48" s="63" t="str">
        <f>IF(AND('Mapa final'!$AD$29="Muy Baja",'Mapa final'!$AF$29="Menor"),CONCATENATE("R3C",'Mapa final'!$T$29),"")</f>
        <v/>
      </c>
      <c r="U48" s="64" t="str">
        <f>IF(AND('Mapa final'!$AD$30="Muy Baja",'Mapa final'!$AF$30="Menor"),CONCATENATE("R3C",'Mapa final'!$T$30),"")</f>
        <v/>
      </c>
      <c r="V48" s="53" t="str">
        <f>IF(AND('Mapa final'!$AD$25="Muy Baja",'Mapa final'!$AF$25="Moderado"),CONCATENATE("R3C",'Mapa final'!$T$25),"")</f>
        <v/>
      </c>
      <c r="W48" s="54" t="str">
        <f>IF(AND('Mapa final'!$AD$26="Muy Baja",'Mapa final'!$AF$26="Moderado"),CONCATENATE("R3C",'Mapa final'!$T$26),"")</f>
        <v/>
      </c>
      <c r="X48" s="54" t="str">
        <f>IF(AND('Mapa final'!$AD$27="Muy Baja",'Mapa final'!$AF$27="Moderado"),CONCATENATE("R3C",'Mapa final'!$T$27),"")</f>
        <v/>
      </c>
      <c r="Y48" s="54" t="str">
        <f>IF(AND('Mapa final'!$AD$28="Muy Baja",'Mapa final'!$AF$28="Moderado"),CONCATENATE("R3C",'Mapa final'!$T$28),"")</f>
        <v/>
      </c>
      <c r="Z48" s="54" t="str">
        <f>IF(AND('Mapa final'!$AD$29="Muy Baja",'Mapa final'!$AF$29="Moderado"),CONCATENATE("R3C",'Mapa final'!$T$29),"")</f>
        <v/>
      </c>
      <c r="AA48" s="55" t="str">
        <f>IF(AND('Mapa final'!$AD$30="Muy Baja",'Mapa final'!$AF$30="Moderado"),CONCATENATE("R3C",'Mapa final'!$T$30),"")</f>
        <v/>
      </c>
      <c r="AB48" s="38" t="str">
        <f>IF(AND('Mapa final'!$AD$25="Muy Baja",'Mapa final'!$AF$25="Mayor"),CONCATENATE("R3C",'Mapa final'!$T$25),"")</f>
        <v/>
      </c>
      <c r="AC48" s="39" t="str">
        <f>IF(AND('Mapa final'!$AD$26="Muy Baja",'Mapa final'!$AF$26="Mayor"),CONCATENATE("R3C",'Mapa final'!$T$26),"")</f>
        <v/>
      </c>
      <c r="AD48" s="39" t="str">
        <f>IF(AND('Mapa final'!$AD$27="Muy Baja",'Mapa final'!$AF$27="Mayor"),CONCATENATE("R3C",'Mapa final'!$T$27),"")</f>
        <v/>
      </c>
      <c r="AE48" s="39" t="str">
        <f>IF(AND('Mapa final'!$AD$28="Muy Baja",'Mapa final'!$AF$28="Mayor"),CONCATENATE("R3C",'Mapa final'!$T$28),"")</f>
        <v/>
      </c>
      <c r="AF48" s="39" t="str">
        <f>IF(AND('Mapa final'!$AD$29="Muy Baja",'Mapa final'!$AF$29="Mayor"),CONCATENATE("R3C",'Mapa final'!$T$29),"")</f>
        <v/>
      </c>
      <c r="AG48" s="40" t="str">
        <f>IF(AND('Mapa final'!$AD$30="Muy Baja",'Mapa final'!$AF$30="Mayor"),CONCATENATE("R3C",'Mapa final'!$T$30),"")</f>
        <v/>
      </c>
      <c r="AH48" s="41" t="str">
        <f>IF(AND('Mapa final'!$AD$25="Muy Baja",'Mapa final'!$AF$25="Catastrófico"),CONCATENATE("R3C",'Mapa final'!$T$25),"")</f>
        <v/>
      </c>
      <c r="AI48" s="42" t="str">
        <f>IF(AND('Mapa final'!$AD$26="Muy Baja",'Mapa final'!$AF$26="Catastrófico"),CONCATENATE("R3C",'Mapa final'!$T$26),"")</f>
        <v/>
      </c>
      <c r="AJ48" s="42" t="str">
        <f>IF(AND('Mapa final'!$AD$27="Muy Baja",'Mapa final'!$AF$27="Catastrófico"),CONCATENATE("R3C",'Mapa final'!$T$27),"")</f>
        <v/>
      </c>
      <c r="AK48" s="42" t="str">
        <f>IF(AND('Mapa final'!$AD$28="Muy Baja",'Mapa final'!$AF$28="Catastrófico"),CONCATENATE("R3C",'Mapa final'!$T$28),"")</f>
        <v/>
      </c>
      <c r="AL48" s="42" t="str">
        <f>IF(AND('Mapa final'!$AD$29="Muy Baja",'Mapa final'!$AF$29="Catastrófico"),CONCATENATE("R3C",'Mapa final'!$T$29),"")</f>
        <v/>
      </c>
      <c r="AM48" s="43" t="str">
        <f>IF(AND('Mapa final'!$AD$30="Muy Baja",'Mapa final'!$AF$30="Catastrófico"),CONCATENATE("R3C",'Mapa final'!$T$30),"")</f>
        <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399"/>
      <c r="C49" s="399"/>
      <c r="D49" s="400"/>
      <c r="E49" s="498"/>
      <c r="F49" s="497"/>
      <c r="G49" s="497"/>
      <c r="H49" s="497"/>
      <c r="I49" s="513"/>
      <c r="J49" s="62" t="str">
        <f>IF(AND('Mapa final'!$AD$31="Muy Baja",'Mapa final'!$AF$31="Leve"),CONCATENATE("R4C",'Mapa final'!$T$31),"")</f>
        <v/>
      </c>
      <c r="K49" s="63" t="str">
        <f>IF(AND('Mapa final'!$AD$32="Muy Baja",'Mapa final'!$AF$32="Leve"),CONCATENATE("R4C",'Mapa final'!$T$32),"")</f>
        <v/>
      </c>
      <c r="L49" s="63" t="str">
        <f>IF(AND('Mapa final'!$AD$33="Muy Baja",'Mapa final'!$AF$33="Leve"),CONCATENATE("R4C",'Mapa final'!$T$33),"")</f>
        <v/>
      </c>
      <c r="M49" s="63" t="str">
        <f>IF(AND('Mapa final'!$AD$34="Muy Baja",'Mapa final'!$AF$34="Leve"),CONCATENATE("R4C",'Mapa final'!$T$34),"")</f>
        <v/>
      </c>
      <c r="N49" s="63" t="str">
        <f>IF(AND('Mapa final'!$AD$35="Muy Baja",'Mapa final'!$AF$35="Leve"),CONCATENATE("R4C",'Mapa final'!$T$35),"")</f>
        <v/>
      </c>
      <c r="O49" s="64" t="str">
        <f>IF(AND('Mapa final'!$AD$36="Muy Baja",'Mapa final'!$AF$36="Leve"),CONCATENATE("R4C",'Mapa final'!$T$36),"")</f>
        <v/>
      </c>
      <c r="P49" s="62" t="str">
        <f>IF(AND('Mapa final'!$AD$31="Muy Baja",'Mapa final'!$AF$31="Menor"),CONCATENATE("R4C",'Mapa final'!$T$31),"")</f>
        <v/>
      </c>
      <c r="Q49" s="63" t="str">
        <f>IF(AND('Mapa final'!$AD$32="Muy Baja",'Mapa final'!$AF$32="Menor"),CONCATENATE("R4C",'Mapa final'!$T$32),"")</f>
        <v/>
      </c>
      <c r="R49" s="63" t="str">
        <f>IF(AND('Mapa final'!$AD$33="Muy Baja",'Mapa final'!$AF$33="Menor"),CONCATENATE("R4C",'Mapa final'!$T$33),"")</f>
        <v/>
      </c>
      <c r="S49" s="63" t="str">
        <f>IF(AND('Mapa final'!$AD$34="Muy Baja",'Mapa final'!$AF$34="Menor"),CONCATENATE("R4C",'Mapa final'!$T$34),"")</f>
        <v/>
      </c>
      <c r="T49" s="63" t="str">
        <f>IF(AND('Mapa final'!$AD$35="Muy Baja",'Mapa final'!$AF$35="Menor"),CONCATENATE("R4C",'Mapa final'!$T$35),"")</f>
        <v/>
      </c>
      <c r="U49" s="64" t="str">
        <f>IF(AND('Mapa final'!$AD$36="Muy Baja",'Mapa final'!$AF$36="Menor"),CONCATENATE("R4C",'Mapa final'!$T$36),"")</f>
        <v/>
      </c>
      <c r="V49" s="53" t="str">
        <f>IF(AND('Mapa final'!$AD$31="Muy Baja",'Mapa final'!$AF$31="Moderado"),CONCATENATE("R4C",'Mapa final'!$T$31),"")</f>
        <v/>
      </c>
      <c r="W49" s="54" t="str">
        <f>IF(AND('Mapa final'!$AD$32="Muy Baja",'Mapa final'!$AF$32="Moderado"),CONCATENATE("R4C",'Mapa final'!$T$32),"")</f>
        <v/>
      </c>
      <c r="X49" s="54" t="str">
        <f>IF(AND('Mapa final'!$AD$33="Muy Baja",'Mapa final'!$AF$33="Moderado"),CONCATENATE("R4C",'Mapa final'!$T$33),"")</f>
        <v/>
      </c>
      <c r="Y49" s="54" t="str">
        <f>IF(AND('Mapa final'!$AD$34="Muy Baja",'Mapa final'!$AF$34="Moderado"),CONCATENATE("R4C",'Mapa final'!$T$34),"")</f>
        <v/>
      </c>
      <c r="Z49" s="54" t="str">
        <f>IF(AND('Mapa final'!$AD$35="Muy Baja",'Mapa final'!$AF$35="Moderado"),CONCATENATE("R4C",'Mapa final'!$T$35),"")</f>
        <v/>
      </c>
      <c r="AA49" s="55" t="str">
        <f>IF(AND('Mapa final'!$AD$36="Muy Baja",'Mapa final'!$AF$36="Moderado"),CONCATENATE("R4C",'Mapa final'!$T$36),"")</f>
        <v/>
      </c>
      <c r="AB49" s="38" t="str">
        <f>IF(AND('Mapa final'!$AD$31="Muy Baja",'Mapa final'!$AF$31="Mayor"),CONCATENATE("R4C",'Mapa final'!$T$31),"")</f>
        <v/>
      </c>
      <c r="AC49" s="39" t="str">
        <f>IF(AND('Mapa final'!$AD$32="Muy Baja",'Mapa final'!$AF$32="Mayor"),CONCATENATE("R4C",'Mapa final'!$T$32),"")</f>
        <v/>
      </c>
      <c r="AD49" s="39" t="str">
        <f>IF(AND('Mapa final'!$AD$33="Muy Baja",'Mapa final'!$AF$33="Mayor"),CONCATENATE("R4C",'Mapa final'!$T$33),"")</f>
        <v/>
      </c>
      <c r="AE49" s="39" t="str">
        <f>IF(AND('Mapa final'!$AD$34="Muy Baja",'Mapa final'!$AF$34="Mayor"),CONCATENATE("R4C",'Mapa final'!$T$34),"")</f>
        <v/>
      </c>
      <c r="AF49" s="39" t="str">
        <f>IF(AND('Mapa final'!$AD$35="Muy Baja",'Mapa final'!$AF$35="Mayor"),CONCATENATE("R4C",'Mapa final'!$T$35),"")</f>
        <v/>
      </c>
      <c r="AG49" s="40" t="str">
        <f>IF(AND('Mapa final'!$AD$36="Muy Baja",'Mapa final'!$AF$36="Mayor"),CONCATENATE("R4C",'Mapa final'!$T$36),"")</f>
        <v/>
      </c>
      <c r="AH49" s="41" t="str">
        <f>IF(AND('Mapa final'!$AD$31="Muy Baja",'Mapa final'!$AF$31="Catastrófico"),CONCATENATE("R4C",'Mapa final'!$T$31),"")</f>
        <v/>
      </c>
      <c r="AI49" s="42" t="str">
        <f>IF(AND('Mapa final'!$AD$32="Muy Baja",'Mapa final'!$AF$32="Catastrófico"),CONCATENATE("R4C",'Mapa final'!$T$32),"")</f>
        <v/>
      </c>
      <c r="AJ49" s="42" t="str">
        <f>IF(AND('Mapa final'!$AD$33="Muy Baja",'Mapa final'!$AF$33="Catastrófico"),CONCATENATE("R4C",'Mapa final'!$T$33),"")</f>
        <v/>
      </c>
      <c r="AK49" s="42" t="str">
        <f>IF(AND('Mapa final'!$AD$34="Muy Baja",'Mapa final'!$AF$34="Catastrófico"),CONCATENATE("R4C",'Mapa final'!$T$34),"")</f>
        <v/>
      </c>
      <c r="AL49" s="42" t="str">
        <f>IF(AND('Mapa final'!$AD$35="Muy Baja",'Mapa final'!$AF$35="Catastrófico"),CONCATENATE("R4C",'Mapa final'!$T$35),"")</f>
        <v/>
      </c>
      <c r="AM49" s="43" t="str">
        <f>IF(AND('Mapa final'!$AD$36="Muy Baja",'Mapa final'!$AF$36="Catastrófico"),CONCATENATE("R4C",'Mapa final'!$T$36),"")</f>
        <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399"/>
      <c r="C50" s="399"/>
      <c r="D50" s="400"/>
      <c r="E50" s="498"/>
      <c r="F50" s="497"/>
      <c r="G50" s="497"/>
      <c r="H50" s="497"/>
      <c r="I50" s="513"/>
      <c r="J50" s="62" t="str">
        <f>IF(AND('Mapa final'!$AD$37="Muy Baja",'Mapa final'!$AF$37="Leve"),CONCATENATE("R5C",'Mapa final'!$T$37),"")</f>
        <v/>
      </c>
      <c r="K50" s="63" t="str">
        <f>IF(AND('Mapa final'!$AD$38="Muy Baja",'Mapa final'!$AF$38="Leve"),CONCATENATE("R5C",'Mapa final'!$T$38),"")</f>
        <v/>
      </c>
      <c r="L50" s="63" t="str">
        <f>IF(AND('Mapa final'!$AD$39="Muy Baja",'Mapa final'!$AF$39="Leve"),CONCATENATE("R5C",'Mapa final'!$T$39),"")</f>
        <v/>
      </c>
      <c r="M50" s="63" t="str">
        <f>IF(AND('Mapa final'!$AD$40="Muy Baja",'Mapa final'!$AF$40="Leve"),CONCATENATE("R5C",'Mapa final'!$T$40),"")</f>
        <v/>
      </c>
      <c r="N50" s="63" t="str">
        <f>IF(AND('Mapa final'!$AD$41="Muy Baja",'Mapa final'!$AF$41="Leve"),CONCATENATE("R5C",'Mapa final'!$T$41),"")</f>
        <v/>
      </c>
      <c r="O50" s="64" t="str">
        <f>IF(AND('Mapa final'!$AD$42="Muy Baja",'Mapa final'!$AF$42="Leve"),CONCATENATE("R5C",'Mapa final'!$T$42),"")</f>
        <v/>
      </c>
      <c r="P50" s="62" t="str">
        <f>IF(AND('Mapa final'!$AD$37="Muy Baja",'Mapa final'!$AF$37="Menor"),CONCATENATE("R5C",'Mapa final'!$T$37),"")</f>
        <v/>
      </c>
      <c r="Q50" s="63" t="str">
        <f>IF(AND('Mapa final'!$AD$38="Muy Baja",'Mapa final'!$AF$38="Menor"),CONCATENATE("R5C",'Mapa final'!$T$38),"")</f>
        <v/>
      </c>
      <c r="R50" s="63" t="str">
        <f>IF(AND('Mapa final'!$AD$39="Muy Baja",'Mapa final'!$AF$39="Menor"),CONCATENATE("R5C",'Mapa final'!$T$39),"")</f>
        <v/>
      </c>
      <c r="S50" s="63" t="str">
        <f>IF(AND('Mapa final'!$AD$40="Muy Baja",'Mapa final'!$AF$40="Menor"),CONCATENATE("R5C",'Mapa final'!$T$40),"")</f>
        <v/>
      </c>
      <c r="T50" s="63" t="str">
        <f>IF(AND('Mapa final'!$AD$41="Muy Baja",'Mapa final'!$AF$41="Menor"),CONCATENATE("R5C",'Mapa final'!$T$41),"")</f>
        <v/>
      </c>
      <c r="U50" s="64" t="str">
        <f>IF(AND('Mapa final'!$AD$42="Muy Baja",'Mapa final'!$AF$42="Menor"),CONCATENATE("R5C",'Mapa final'!$T$42),"")</f>
        <v/>
      </c>
      <c r="V50" s="53" t="str">
        <f>IF(AND('Mapa final'!$AD$37="Muy Baja",'Mapa final'!$AF$37="Moderado"),CONCATENATE("R5C",'Mapa final'!$T$37),"")</f>
        <v/>
      </c>
      <c r="W50" s="54" t="str">
        <f>IF(AND('Mapa final'!$AD$38="Muy Baja",'Mapa final'!$AF$38="Moderado"),CONCATENATE("R5C",'Mapa final'!$T$38),"")</f>
        <v/>
      </c>
      <c r="X50" s="54" t="str">
        <f>IF(AND('Mapa final'!$AD$39="Muy Baja",'Mapa final'!$AF$39="Moderado"),CONCATENATE("R5C",'Mapa final'!$T$39),"")</f>
        <v/>
      </c>
      <c r="Y50" s="54" t="str">
        <f>IF(AND('Mapa final'!$AD$40="Muy Baja",'Mapa final'!$AF$40="Moderado"),CONCATENATE("R5C",'Mapa final'!$T$40),"")</f>
        <v/>
      </c>
      <c r="Z50" s="54" t="str">
        <f>IF(AND('Mapa final'!$AD$41="Muy Baja",'Mapa final'!$AF$41="Moderado"),CONCATENATE("R5C",'Mapa final'!$T$41),"")</f>
        <v/>
      </c>
      <c r="AA50" s="55" t="str">
        <f>IF(AND('Mapa final'!$AD$42="Muy Baja",'Mapa final'!$AF$42="Moderado"),CONCATENATE("R5C",'Mapa final'!$T$42),"")</f>
        <v/>
      </c>
      <c r="AB50" s="38" t="str">
        <f>IF(AND('Mapa final'!$AD$37="Muy Baja",'Mapa final'!$AF$37="Mayor"),CONCATENATE("R5C",'Mapa final'!$T$37),"")</f>
        <v/>
      </c>
      <c r="AC50" s="39" t="str">
        <f>IF(AND('Mapa final'!$AD$38="Muy Baja",'Mapa final'!$AF$38="Mayor"),CONCATENATE("R5C",'Mapa final'!$T$38),"")</f>
        <v/>
      </c>
      <c r="AD50" s="39" t="str">
        <f>IF(AND('Mapa final'!$AD$39="Muy Baja",'Mapa final'!$AF$39="Mayor"),CONCATENATE("R5C",'Mapa final'!$T$39),"")</f>
        <v/>
      </c>
      <c r="AE50" s="39" t="str">
        <f>IF(AND('Mapa final'!$AD$40="Muy Baja",'Mapa final'!$AF$40="Mayor"),CONCATENATE("R5C",'Mapa final'!$T$40),"")</f>
        <v/>
      </c>
      <c r="AF50" s="39" t="str">
        <f>IF(AND('Mapa final'!$AD$41="Muy Baja",'Mapa final'!$AF$41="Mayor"),CONCATENATE("R5C",'Mapa final'!$T$41),"")</f>
        <v/>
      </c>
      <c r="AG50" s="40" t="str">
        <f>IF(AND('Mapa final'!$AD$42="Muy Baja",'Mapa final'!$AF$42="Mayor"),CONCATENATE("R5C",'Mapa final'!$T$42),"")</f>
        <v/>
      </c>
      <c r="AH50" s="41" t="str">
        <f>IF(AND('Mapa final'!$AD$37="Muy Baja",'Mapa final'!$AF$37="Catastrófico"),CONCATENATE("R5C",'Mapa final'!$T$37),"")</f>
        <v/>
      </c>
      <c r="AI50" s="42" t="str">
        <f>IF(AND('Mapa final'!$AD$38="Muy Baja",'Mapa final'!$AF$38="Catastrófico"),CONCATENATE("R5C",'Mapa final'!$T$38),"")</f>
        <v/>
      </c>
      <c r="AJ50" s="42" t="str">
        <f>IF(AND('Mapa final'!$AD$39="Muy Baja",'Mapa final'!$AF$39="Catastrófico"),CONCATENATE("R5C",'Mapa final'!$T$39),"")</f>
        <v/>
      </c>
      <c r="AK50" s="42" t="str">
        <f>IF(AND('Mapa final'!$AD$40="Muy Baja",'Mapa final'!$AF$40="Catastrófico"),CONCATENATE("R5C",'Mapa final'!$T$40),"")</f>
        <v/>
      </c>
      <c r="AL50" s="42" t="str">
        <f>IF(AND('Mapa final'!$AD$41="Muy Baja",'Mapa final'!$AF$41="Catastrófico"),CONCATENATE("R5C",'Mapa final'!$T$41),"")</f>
        <v/>
      </c>
      <c r="AM50" s="43" t="str">
        <f>IF(AND('Mapa final'!$AD$42="Muy Baja",'Mapa final'!$AF$42="Catastrófico"),CONCATENATE("R5C",'Mapa final'!$T$42),"")</f>
        <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399"/>
      <c r="C51" s="399"/>
      <c r="D51" s="400"/>
      <c r="E51" s="498"/>
      <c r="F51" s="497"/>
      <c r="G51" s="497"/>
      <c r="H51" s="497"/>
      <c r="I51" s="513"/>
      <c r="J51" s="62" t="str">
        <f>IF(AND('Mapa final'!$AD$43="Muy Baja",'Mapa final'!$AF$43="Leve"),CONCATENATE("R6C",'Mapa final'!$T$43),"")</f>
        <v/>
      </c>
      <c r="K51" s="63" t="str">
        <f>IF(AND('Mapa final'!$AD$44="Muy Baja",'Mapa final'!$AF$44="Leve"),CONCATENATE("R6C",'Mapa final'!$T$44),"")</f>
        <v/>
      </c>
      <c r="L51" s="63" t="str">
        <f>IF(AND('Mapa final'!$AD$45="Muy Baja",'Mapa final'!$AF$45="Leve"),CONCATENATE("R6C",'Mapa final'!$T$45),"")</f>
        <v/>
      </c>
      <c r="M51" s="63" t="str">
        <f>IF(AND('Mapa final'!$AD$46="Muy Baja",'Mapa final'!$AF$46="Leve"),CONCATENATE("R6C",'Mapa final'!$T$46),"")</f>
        <v/>
      </c>
      <c r="N51" s="63" t="str">
        <f>IF(AND('Mapa final'!$AD$47="Muy Baja",'Mapa final'!$AF$47="Leve"),CONCATENATE("R6C",'Mapa final'!$T$47),"")</f>
        <v/>
      </c>
      <c r="O51" s="64" t="str">
        <f>IF(AND('Mapa final'!$AD$48="Muy Baja",'Mapa final'!$AF$48="Leve"),CONCATENATE("R6C",'Mapa final'!$T$48),"")</f>
        <v/>
      </c>
      <c r="P51" s="62" t="str">
        <f>IF(AND('Mapa final'!$AD$43="Muy Baja",'Mapa final'!$AF$43="Menor"),CONCATENATE("R6C",'Mapa final'!$T$43),"")</f>
        <v/>
      </c>
      <c r="Q51" s="63" t="str">
        <f>IF(AND('Mapa final'!$AD$44="Muy Baja",'Mapa final'!$AF$44="Menor"),CONCATENATE("R6C",'Mapa final'!$T$44),"")</f>
        <v/>
      </c>
      <c r="R51" s="63" t="str">
        <f>IF(AND('Mapa final'!$AD$45="Muy Baja",'Mapa final'!$AF$45="Menor"),CONCATENATE("R6C",'Mapa final'!$T$45),"")</f>
        <v/>
      </c>
      <c r="S51" s="63" t="str">
        <f>IF(AND('Mapa final'!$AD$46="Muy Baja",'Mapa final'!$AF$46="Menor"),CONCATENATE("R6C",'Mapa final'!$T$46),"")</f>
        <v/>
      </c>
      <c r="T51" s="63" t="str">
        <f>IF(AND('Mapa final'!$AD$47="Muy Baja",'Mapa final'!$AF$47="Menor"),CONCATENATE("R6C",'Mapa final'!$T$47),"")</f>
        <v/>
      </c>
      <c r="U51" s="64" t="str">
        <f>IF(AND('Mapa final'!$AD$48="Muy Baja",'Mapa final'!$AF$48="Menor"),CONCATENATE("R6C",'Mapa final'!$T$48),"")</f>
        <v/>
      </c>
      <c r="V51" s="53" t="str">
        <f>IF(AND('Mapa final'!$AD$43="Muy Baja",'Mapa final'!$AF$43="Moderado"),CONCATENATE("R6C",'Mapa final'!$T$43),"")</f>
        <v/>
      </c>
      <c r="W51" s="54" t="str">
        <f>IF(AND('Mapa final'!$AD$44="Muy Baja",'Mapa final'!$AF$44="Moderado"),CONCATENATE("R6C",'Mapa final'!$T$44),"")</f>
        <v/>
      </c>
      <c r="X51" s="54" t="str">
        <f>IF(AND('Mapa final'!$AD$45="Muy Baja",'Mapa final'!$AF$45="Moderado"),CONCATENATE("R6C",'Mapa final'!$T$45),"")</f>
        <v/>
      </c>
      <c r="Y51" s="54" t="str">
        <f>IF(AND('Mapa final'!$AD$46="Muy Baja",'Mapa final'!$AF$46="Moderado"),CONCATENATE("R6C",'Mapa final'!$T$46),"")</f>
        <v/>
      </c>
      <c r="Z51" s="54" t="str">
        <f>IF(AND('Mapa final'!$AD$47="Muy Baja",'Mapa final'!$AF$47="Moderado"),CONCATENATE("R6C",'Mapa final'!$T$47),"")</f>
        <v/>
      </c>
      <c r="AA51" s="55" t="str">
        <f>IF(AND('Mapa final'!$AD$48="Muy Baja",'Mapa final'!$AF$48="Moderado"),CONCATENATE("R6C",'Mapa final'!$T$48),"")</f>
        <v/>
      </c>
      <c r="AB51" s="38" t="str">
        <f>IF(AND('Mapa final'!$AD$43="Muy Baja",'Mapa final'!$AF$43="Mayor"),CONCATENATE("R6C",'Mapa final'!$T$43),"")</f>
        <v/>
      </c>
      <c r="AC51" s="39" t="str">
        <f>IF(AND('Mapa final'!$AD$44="Muy Baja",'Mapa final'!$AF$44="Mayor"),CONCATENATE("R6C",'Mapa final'!$T$44),"")</f>
        <v/>
      </c>
      <c r="AD51" s="39" t="str">
        <f>IF(AND('Mapa final'!$AD$45="Muy Baja",'Mapa final'!$AF$45="Mayor"),CONCATENATE("R6C",'Mapa final'!$T$45),"")</f>
        <v/>
      </c>
      <c r="AE51" s="39" t="str">
        <f>IF(AND('Mapa final'!$AD$46="Muy Baja",'Mapa final'!$AF$46="Mayor"),CONCATENATE("R6C",'Mapa final'!$T$46),"")</f>
        <v/>
      </c>
      <c r="AF51" s="39" t="str">
        <f>IF(AND('Mapa final'!$AD$47="Muy Baja",'Mapa final'!$AF$47="Mayor"),CONCATENATE("R6C",'Mapa final'!$T$47),"")</f>
        <v/>
      </c>
      <c r="AG51" s="40" t="str">
        <f>IF(AND('Mapa final'!$AD$48="Muy Baja",'Mapa final'!$AF$48="Mayor"),CONCATENATE("R6C",'Mapa final'!$T$48),"")</f>
        <v/>
      </c>
      <c r="AH51" s="41" t="str">
        <f>IF(AND('Mapa final'!$AD$43="Muy Baja",'Mapa final'!$AF$43="Catastrófico"),CONCATENATE("R6C",'Mapa final'!$T$43),"")</f>
        <v/>
      </c>
      <c r="AI51" s="42" t="str">
        <f>IF(AND('Mapa final'!$AD$44="Muy Baja",'Mapa final'!$AF$44="Catastrófico"),CONCATENATE("R6C",'Mapa final'!$T$44),"")</f>
        <v/>
      </c>
      <c r="AJ51" s="42" t="str">
        <f>IF(AND('Mapa final'!$AD$45="Muy Baja",'Mapa final'!$AF$45="Catastrófico"),CONCATENATE("R6C",'Mapa final'!$T$45),"")</f>
        <v/>
      </c>
      <c r="AK51" s="42" t="str">
        <f>IF(AND('Mapa final'!$AD$46="Muy Baja",'Mapa final'!$AF$46="Catastrófico"),CONCATENATE("R6C",'Mapa final'!$T$46),"")</f>
        <v/>
      </c>
      <c r="AL51" s="42" t="str">
        <f>IF(AND('Mapa final'!$AD$47="Muy Baja",'Mapa final'!$AF$47="Catastrófico"),CONCATENATE("R6C",'Mapa final'!$T$47),"")</f>
        <v/>
      </c>
      <c r="AM51" s="43" t="str">
        <f>IF(AND('Mapa final'!$AD$48="Muy Baja",'Mapa final'!$AF$48="Catastrófico"),CONCATENATE("R6C",'Mapa final'!$T$48),"")</f>
        <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399"/>
      <c r="C52" s="399"/>
      <c r="D52" s="400"/>
      <c r="E52" s="498"/>
      <c r="F52" s="497"/>
      <c r="G52" s="497"/>
      <c r="H52" s="497"/>
      <c r="I52" s="513"/>
      <c r="J52" s="62" t="str">
        <f>IF(AND('Mapa final'!$AD$49="Muy Baja",'Mapa final'!$AF$49="Leve"),CONCATENATE("R7C",'Mapa final'!$T$49),"")</f>
        <v/>
      </c>
      <c r="K52" s="63" t="str">
        <f>IF(AND('Mapa final'!$AD$50="Muy Baja",'Mapa final'!$AF$50="Leve"),CONCATENATE("R7C",'Mapa final'!$T$50),"")</f>
        <v/>
      </c>
      <c r="L52" s="63" t="str">
        <f>IF(AND('Mapa final'!$AD$51="Muy Baja",'Mapa final'!$AF$51="Leve"),CONCATENATE("R7C",'Mapa final'!$T$51),"")</f>
        <v/>
      </c>
      <c r="M52" s="63" t="str">
        <f>IF(AND('Mapa final'!$AD$52="Muy Baja",'Mapa final'!$AF$52="Leve"),CONCATENATE("R7C",'Mapa final'!$T$52),"")</f>
        <v/>
      </c>
      <c r="N52" s="63" t="str">
        <f>IF(AND('Mapa final'!$AD$53="Muy Baja",'Mapa final'!$AF$53="Leve"),CONCATENATE("R7C",'Mapa final'!$T$53),"")</f>
        <v/>
      </c>
      <c r="O52" s="64" t="str">
        <f>IF(AND('Mapa final'!$AD$54="Muy Baja",'Mapa final'!$AF$54="Leve"),CONCATENATE("R7C",'Mapa final'!$T$54),"")</f>
        <v/>
      </c>
      <c r="P52" s="62" t="str">
        <f>IF(AND('Mapa final'!$AD$49="Muy Baja",'Mapa final'!$AF$49="Menor"),CONCATENATE("R7C",'Mapa final'!$T$49),"")</f>
        <v/>
      </c>
      <c r="Q52" s="63" t="str">
        <f>IF(AND('Mapa final'!$AD$50="Muy Baja",'Mapa final'!$AF$50="Menor"),CONCATENATE("R7C",'Mapa final'!$T$50),"")</f>
        <v/>
      </c>
      <c r="R52" s="63" t="str">
        <f>IF(AND('Mapa final'!$AD$51="Muy Baja",'Mapa final'!$AF$51="Menor"),CONCATENATE("R7C",'Mapa final'!$T$51),"")</f>
        <v/>
      </c>
      <c r="S52" s="63" t="str">
        <f>IF(AND('Mapa final'!$AD$52="Muy Baja",'Mapa final'!$AF$52="Menor"),CONCATENATE("R7C",'Mapa final'!$T$52),"")</f>
        <v/>
      </c>
      <c r="T52" s="63" t="str">
        <f>IF(AND('Mapa final'!$AD$53="Muy Baja",'Mapa final'!$AF$53="Menor"),CONCATENATE("R7C",'Mapa final'!$T$53),"")</f>
        <v/>
      </c>
      <c r="U52" s="64" t="str">
        <f>IF(AND('Mapa final'!$AD$54="Muy Baja",'Mapa final'!$AF$54="Menor"),CONCATENATE("R7C",'Mapa final'!$T$54),"")</f>
        <v/>
      </c>
      <c r="V52" s="53" t="str">
        <f>IF(AND('Mapa final'!$AD$49="Muy Baja",'Mapa final'!$AF$49="Moderado"),CONCATENATE("R7C",'Mapa final'!$T$49),"")</f>
        <v/>
      </c>
      <c r="W52" s="54" t="str">
        <f>IF(AND('Mapa final'!$AD$50="Muy Baja",'Mapa final'!$AF$50="Moderado"),CONCATENATE("R7C",'Mapa final'!$T$50),"")</f>
        <v/>
      </c>
      <c r="X52" s="54" t="str">
        <f>IF(AND('Mapa final'!$AD$51="Muy Baja",'Mapa final'!$AF$51="Moderado"),CONCATENATE("R7C",'Mapa final'!$T$51),"")</f>
        <v/>
      </c>
      <c r="Y52" s="54" t="str">
        <f>IF(AND('Mapa final'!$AD$52="Muy Baja",'Mapa final'!$AF$52="Moderado"),CONCATENATE("R7C",'Mapa final'!$T$52),"")</f>
        <v/>
      </c>
      <c r="Z52" s="54" t="str">
        <f>IF(AND('Mapa final'!$AD$53="Muy Baja",'Mapa final'!$AF$53="Moderado"),CONCATENATE("R7C",'Mapa final'!$T$53),"")</f>
        <v/>
      </c>
      <c r="AA52" s="55" t="str">
        <f>IF(AND('Mapa final'!$AD$54="Muy Baja",'Mapa final'!$AF$54="Moderado"),CONCATENATE("R7C",'Mapa final'!$T$54),"")</f>
        <v/>
      </c>
      <c r="AB52" s="38" t="str">
        <f>IF(AND('Mapa final'!$AD$49="Muy Baja",'Mapa final'!$AF$49="Mayor"),CONCATENATE("R7C",'Mapa final'!$T$49),"")</f>
        <v/>
      </c>
      <c r="AC52" s="39" t="str">
        <f>IF(AND('Mapa final'!$AD$50="Muy Baja",'Mapa final'!$AF$50="Mayor"),CONCATENATE("R7C",'Mapa final'!$T$50),"")</f>
        <v/>
      </c>
      <c r="AD52" s="39" t="str">
        <f>IF(AND('Mapa final'!$AD$51="Muy Baja",'Mapa final'!$AF$51="Mayor"),CONCATENATE("R7C",'Mapa final'!$T$51),"")</f>
        <v/>
      </c>
      <c r="AE52" s="39" t="str">
        <f>IF(AND('Mapa final'!$AD$52="Muy Baja",'Mapa final'!$AF$52="Mayor"),CONCATENATE("R7C",'Mapa final'!$T$52),"")</f>
        <v/>
      </c>
      <c r="AF52" s="39" t="str">
        <f>IF(AND('Mapa final'!$AD$53="Muy Baja",'Mapa final'!$AF$53="Mayor"),CONCATENATE("R7C",'Mapa final'!$T$53),"")</f>
        <v/>
      </c>
      <c r="AG52" s="40" t="str">
        <f>IF(AND('Mapa final'!$AD$54="Muy Baja",'Mapa final'!$AF$54="Mayor"),CONCATENATE("R7C",'Mapa final'!$T$54),"")</f>
        <v/>
      </c>
      <c r="AH52" s="41" t="str">
        <f>IF(AND('Mapa final'!$AD$49="Muy Baja",'Mapa final'!$AF$49="Catastrófico"),CONCATENATE("R7C",'Mapa final'!$T$49),"")</f>
        <v/>
      </c>
      <c r="AI52" s="42" t="str">
        <f>IF(AND('Mapa final'!$AD$50="Muy Baja",'Mapa final'!$AF$50="Catastrófico"),CONCATENATE("R7C",'Mapa final'!$T$50),"")</f>
        <v/>
      </c>
      <c r="AJ52" s="42" t="str">
        <f>IF(AND('Mapa final'!$AD$51="Muy Baja",'Mapa final'!$AF$51="Catastrófico"),CONCATENATE("R7C",'Mapa final'!$T$51),"")</f>
        <v/>
      </c>
      <c r="AK52" s="42" t="str">
        <f>IF(AND('Mapa final'!$AD$52="Muy Baja",'Mapa final'!$AF$52="Catastrófico"),CONCATENATE("R7C",'Mapa final'!$T$52),"")</f>
        <v/>
      </c>
      <c r="AL52" s="42" t="str">
        <f>IF(AND('Mapa final'!$AD$53="Muy Baja",'Mapa final'!$AF$53="Catastrófico"),CONCATENATE("R7C",'Mapa final'!$T$53),"")</f>
        <v/>
      </c>
      <c r="AM52" s="43" t="str">
        <f>IF(AND('Mapa final'!$AD$54="Muy Baja",'Mapa final'!$AF$54="Catastrófico"),CONCATENATE("R7C",'Mapa final'!$T$54),"")</f>
        <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399"/>
      <c r="C53" s="399"/>
      <c r="D53" s="400"/>
      <c r="E53" s="498"/>
      <c r="F53" s="497"/>
      <c r="G53" s="497"/>
      <c r="H53" s="497"/>
      <c r="I53" s="513"/>
      <c r="J53" s="62" t="str">
        <f>IF(AND('Mapa final'!$AD$55="Muy Baja",'Mapa final'!$AF$55="Leve"),CONCATENATE("R8C",'Mapa final'!$T$55),"")</f>
        <v/>
      </c>
      <c r="K53" s="63" t="str">
        <f>IF(AND('Mapa final'!$AD$56="Muy Baja",'Mapa final'!$AF$56="Leve"),CONCATENATE("R8C",'Mapa final'!$T$56),"")</f>
        <v/>
      </c>
      <c r="L53" s="63" t="str">
        <f>IF(AND('Mapa final'!$AD$57="Muy Baja",'Mapa final'!$AF$57="Leve"),CONCATENATE("R8C",'Mapa final'!$T$57),"")</f>
        <v/>
      </c>
      <c r="M53" s="63" t="str">
        <f>IF(AND('Mapa final'!$AD$58="Muy Baja",'Mapa final'!$AF$58="Leve"),CONCATENATE("R8C",'Mapa final'!$T$58),"")</f>
        <v/>
      </c>
      <c r="N53" s="63" t="str">
        <f>IF(AND('Mapa final'!$AD$59="Muy Baja",'Mapa final'!$AF$59="Leve"),CONCATENATE("R8C",'Mapa final'!$T$59),"")</f>
        <v/>
      </c>
      <c r="O53" s="64" t="str">
        <f>IF(AND('Mapa final'!$AD$60="Muy Baja",'Mapa final'!$AF$60="Leve"),CONCATENATE("R8C",'Mapa final'!$T$60),"")</f>
        <v/>
      </c>
      <c r="P53" s="62" t="str">
        <f>IF(AND('Mapa final'!$AD$55="Muy Baja",'Mapa final'!$AF$55="Menor"),CONCATENATE("R8C",'Mapa final'!$T$55),"")</f>
        <v/>
      </c>
      <c r="Q53" s="63" t="str">
        <f>IF(AND('Mapa final'!$AD$56="Muy Baja",'Mapa final'!$AF$56="Menor"),CONCATENATE("R8C",'Mapa final'!$T$56),"")</f>
        <v/>
      </c>
      <c r="R53" s="63" t="str">
        <f>IF(AND('Mapa final'!$AD$57="Muy Baja",'Mapa final'!$AF$57="Menor"),CONCATENATE("R8C",'Mapa final'!$T$57),"")</f>
        <v/>
      </c>
      <c r="S53" s="63" t="str">
        <f>IF(AND('Mapa final'!$AD$58="Muy Baja",'Mapa final'!$AF$58="Menor"),CONCATENATE("R8C",'Mapa final'!$T$58),"")</f>
        <v/>
      </c>
      <c r="T53" s="63" t="str">
        <f>IF(AND('Mapa final'!$AD$59="Muy Baja",'Mapa final'!$AF$59="Menor"),CONCATENATE("R8C",'Mapa final'!$T$59),"")</f>
        <v/>
      </c>
      <c r="U53" s="64" t="str">
        <f>IF(AND('Mapa final'!$AD$60="Muy Baja",'Mapa final'!$AF$60="Menor"),CONCATENATE("R8C",'Mapa final'!$T$60),"")</f>
        <v/>
      </c>
      <c r="V53" s="53" t="str">
        <f>IF(AND('Mapa final'!$AD$55="Muy Baja",'Mapa final'!$AF$55="Moderado"),CONCATENATE("R8C",'Mapa final'!$T$55),"")</f>
        <v/>
      </c>
      <c r="W53" s="54" t="str">
        <f>IF(AND('Mapa final'!$AD$56="Muy Baja",'Mapa final'!$AF$56="Moderado"),CONCATENATE("R8C",'Mapa final'!$T$56),"")</f>
        <v/>
      </c>
      <c r="X53" s="54" t="str">
        <f>IF(AND('Mapa final'!$AD$57="Muy Baja",'Mapa final'!$AF$57="Moderado"),CONCATENATE("R8C",'Mapa final'!$T$57),"")</f>
        <v/>
      </c>
      <c r="Y53" s="54" t="str">
        <f>IF(AND('Mapa final'!$AD$58="Muy Baja",'Mapa final'!$AF$58="Moderado"),CONCATENATE("R8C",'Mapa final'!$T$58),"")</f>
        <v/>
      </c>
      <c r="Z53" s="54" t="str">
        <f>IF(AND('Mapa final'!$AD$59="Muy Baja",'Mapa final'!$AF$59="Moderado"),CONCATENATE("R8C",'Mapa final'!$T$59),"")</f>
        <v/>
      </c>
      <c r="AA53" s="55" t="str">
        <f>IF(AND('Mapa final'!$AD$60="Muy Baja",'Mapa final'!$AF$60="Moderado"),CONCATENATE("R8C",'Mapa final'!$T$60),"")</f>
        <v/>
      </c>
      <c r="AB53" s="38" t="str">
        <f>IF(AND('Mapa final'!$AD$55="Muy Baja",'Mapa final'!$AF$55="Mayor"),CONCATENATE("R8C",'Mapa final'!$T$55),"")</f>
        <v/>
      </c>
      <c r="AC53" s="39" t="str">
        <f>IF(AND('Mapa final'!$AD$56="Muy Baja",'Mapa final'!$AF$56="Mayor"),CONCATENATE("R8C",'Mapa final'!$T$56),"")</f>
        <v/>
      </c>
      <c r="AD53" s="39" t="str">
        <f>IF(AND('Mapa final'!$AD$57="Muy Baja",'Mapa final'!$AF$57="Mayor"),CONCATENATE("R8C",'Mapa final'!$T$57),"")</f>
        <v/>
      </c>
      <c r="AE53" s="39" t="str">
        <f>IF(AND('Mapa final'!$AD$58="Muy Baja",'Mapa final'!$AF$58="Mayor"),CONCATENATE("R8C",'Mapa final'!$T$58),"")</f>
        <v/>
      </c>
      <c r="AF53" s="39" t="str">
        <f>IF(AND('Mapa final'!$AD$59="Muy Baja",'Mapa final'!$AF$59="Mayor"),CONCATENATE("R8C",'Mapa final'!$T$59),"")</f>
        <v/>
      </c>
      <c r="AG53" s="40" t="str">
        <f>IF(AND('Mapa final'!$AD$60="Muy Baja",'Mapa final'!$AF$60="Mayor"),CONCATENATE("R8C",'Mapa final'!$T$60),"")</f>
        <v/>
      </c>
      <c r="AH53" s="41" t="str">
        <f>IF(AND('Mapa final'!$AD$55="Muy Baja",'Mapa final'!$AF$55="Catastrófico"),CONCATENATE("R8C",'Mapa final'!$T$55),"")</f>
        <v/>
      </c>
      <c r="AI53" s="42" t="str">
        <f>IF(AND('Mapa final'!$AD$56="Muy Baja",'Mapa final'!$AF$56="Catastrófico"),CONCATENATE("R8C",'Mapa final'!$T$56),"")</f>
        <v/>
      </c>
      <c r="AJ53" s="42" t="str">
        <f>IF(AND('Mapa final'!$AD$57="Muy Baja",'Mapa final'!$AF$57="Catastrófico"),CONCATENATE("R8C",'Mapa final'!$T$57),"")</f>
        <v/>
      </c>
      <c r="AK53" s="42" t="str">
        <f>IF(AND('Mapa final'!$AD$58="Muy Baja",'Mapa final'!$AF$58="Catastrófico"),CONCATENATE("R8C",'Mapa final'!$T$58),"")</f>
        <v/>
      </c>
      <c r="AL53" s="42" t="str">
        <f>IF(AND('Mapa final'!$AD$59="Muy Baja",'Mapa final'!$AF$59="Catastrófico"),CONCATENATE("R8C",'Mapa final'!$T$59),"")</f>
        <v/>
      </c>
      <c r="AM53" s="43" t="str">
        <f>IF(AND('Mapa final'!$AD$60="Muy Baja",'Mapa final'!$AF$60="Catastrófico"),CONCATENATE("R8C",'Mapa final'!$T$60),"")</f>
        <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399"/>
      <c r="C54" s="399"/>
      <c r="D54" s="400"/>
      <c r="E54" s="498"/>
      <c r="F54" s="497"/>
      <c r="G54" s="497"/>
      <c r="H54" s="497"/>
      <c r="I54" s="513"/>
      <c r="J54" s="62" t="str">
        <f>IF(AND('Mapa final'!$AD$61="Muy Baja",'Mapa final'!$AF$61="Leve"),CONCATENATE("R9C",'Mapa final'!$T$61),"")</f>
        <v/>
      </c>
      <c r="K54" s="63" t="str">
        <f>IF(AND('Mapa final'!$AD$62="Muy Baja",'Mapa final'!$AF$62="Leve"),CONCATENATE("R9C",'Mapa final'!$T$62),"")</f>
        <v/>
      </c>
      <c r="L54" s="63" t="str">
        <f>IF(AND('Mapa final'!$AD$63="Muy Baja",'Mapa final'!$AF$63="Leve"),CONCATENATE("R9C",'Mapa final'!$T$63),"")</f>
        <v/>
      </c>
      <c r="M54" s="63" t="str">
        <f>IF(AND('Mapa final'!$AD$64="Muy Baja",'Mapa final'!$AF$64="Leve"),CONCATENATE("R9C",'Mapa final'!$T$64),"")</f>
        <v/>
      </c>
      <c r="N54" s="63" t="str">
        <f>IF(AND('Mapa final'!$AD$65="Muy Baja",'Mapa final'!$AF$65="Leve"),CONCATENATE("R9C",'Mapa final'!$T$65),"")</f>
        <v/>
      </c>
      <c r="O54" s="64" t="str">
        <f>IF(AND('Mapa final'!$AD$66="Muy Baja",'Mapa final'!$AF$66="Leve"),CONCATENATE("R9C",'Mapa final'!$T$66),"")</f>
        <v/>
      </c>
      <c r="P54" s="62" t="str">
        <f>IF(AND('Mapa final'!$AD$61="Muy Baja",'Mapa final'!$AF$61="Menor"),CONCATENATE("R9C",'Mapa final'!$T$61),"")</f>
        <v/>
      </c>
      <c r="Q54" s="63" t="str">
        <f>IF(AND('Mapa final'!$AD$62="Muy Baja",'Mapa final'!$AF$62="Menor"),CONCATENATE("R9C",'Mapa final'!$T$62),"")</f>
        <v/>
      </c>
      <c r="R54" s="63" t="str">
        <f>IF(AND('Mapa final'!$AD$63="Muy Baja",'Mapa final'!$AF$63="Menor"),CONCATENATE("R9C",'Mapa final'!$T$63),"")</f>
        <v/>
      </c>
      <c r="S54" s="63" t="str">
        <f>IF(AND('Mapa final'!$AD$64="Muy Baja",'Mapa final'!$AF$64="Menor"),CONCATENATE("R9C",'Mapa final'!$T$64),"")</f>
        <v/>
      </c>
      <c r="T54" s="63" t="str">
        <f>IF(AND('Mapa final'!$AD$65="Muy Baja",'Mapa final'!$AF$65="Menor"),CONCATENATE("R9C",'Mapa final'!$T$65),"")</f>
        <v/>
      </c>
      <c r="U54" s="64" t="str">
        <f>IF(AND('Mapa final'!$AD$66="Muy Baja",'Mapa final'!$AF$66="Menor"),CONCATENATE("R9C",'Mapa final'!$T$66),"")</f>
        <v/>
      </c>
      <c r="V54" s="53" t="str">
        <f>IF(AND('Mapa final'!$AD$61="Muy Baja",'Mapa final'!$AF$61="Moderado"),CONCATENATE("R9C",'Mapa final'!$T$61),"")</f>
        <v/>
      </c>
      <c r="W54" s="54" t="str">
        <f>IF(AND('Mapa final'!$AD$62="Muy Baja",'Mapa final'!$AF$62="Moderado"),CONCATENATE("R9C",'Mapa final'!$T$62),"")</f>
        <v/>
      </c>
      <c r="X54" s="54" t="str">
        <f>IF(AND('Mapa final'!$AD$63="Muy Baja",'Mapa final'!$AF$63="Moderado"),CONCATENATE("R9C",'Mapa final'!$T$63),"")</f>
        <v/>
      </c>
      <c r="Y54" s="54" t="str">
        <f>IF(AND('Mapa final'!$AD$64="Muy Baja",'Mapa final'!$AF$64="Moderado"),CONCATENATE("R9C",'Mapa final'!$T$64),"")</f>
        <v/>
      </c>
      <c r="Z54" s="54" t="str">
        <f>IF(AND('Mapa final'!$AD$65="Muy Baja",'Mapa final'!$AF$65="Moderado"),CONCATENATE("R9C",'Mapa final'!$T$65),"")</f>
        <v/>
      </c>
      <c r="AA54" s="55" t="str">
        <f>IF(AND('Mapa final'!$AD$66="Muy Baja",'Mapa final'!$AF$66="Moderado"),CONCATENATE("R9C",'Mapa final'!$T$66),"")</f>
        <v/>
      </c>
      <c r="AB54" s="38" t="str">
        <f>IF(AND('Mapa final'!$AD$61="Muy Baja",'Mapa final'!$AF$61="Mayor"),CONCATENATE("R9C",'Mapa final'!$T$61),"")</f>
        <v/>
      </c>
      <c r="AC54" s="39" t="str">
        <f>IF(AND('Mapa final'!$AD$62="Muy Baja",'Mapa final'!$AF$62="Mayor"),CONCATENATE("R9C",'Mapa final'!$T$62),"")</f>
        <v/>
      </c>
      <c r="AD54" s="39" t="str">
        <f>IF(AND('Mapa final'!$AD$63="Muy Baja",'Mapa final'!$AF$63="Mayor"),CONCATENATE("R9C",'Mapa final'!$T$63),"")</f>
        <v/>
      </c>
      <c r="AE54" s="39" t="str">
        <f>IF(AND('Mapa final'!$AD$64="Muy Baja",'Mapa final'!$AF$64="Mayor"),CONCATENATE("R9C",'Mapa final'!$T$64),"")</f>
        <v/>
      </c>
      <c r="AF54" s="39" t="str">
        <f>IF(AND('Mapa final'!$AD$65="Muy Baja",'Mapa final'!$AF$65="Mayor"),CONCATENATE("R9C",'Mapa final'!$T$65),"")</f>
        <v/>
      </c>
      <c r="AG54" s="40" t="str">
        <f>IF(AND('Mapa final'!$AD$66="Muy Baja",'Mapa final'!$AF$66="Mayor"),CONCATENATE("R9C",'Mapa final'!$T$66),"")</f>
        <v/>
      </c>
      <c r="AH54" s="41" t="str">
        <f>IF(AND('Mapa final'!$AD$61="Muy Baja",'Mapa final'!$AF$61="Catastrófico"),CONCATENATE("R9C",'Mapa final'!$T$61),"")</f>
        <v/>
      </c>
      <c r="AI54" s="42" t="str">
        <f>IF(AND('Mapa final'!$AD$62="Muy Baja",'Mapa final'!$AF$62="Catastrófico"),CONCATENATE("R9C",'Mapa final'!$T$62),"")</f>
        <v/>
      </c>
      <c r="AJ54" s="42" t="str">
        <f>IF(AND('Mapa final'!$AD$63="Muy Baja",'Mapa final'!$AF$63="Catastrófico"),CONCATENATE("R9C",'Mapa final'!$T$63),"")</f>
        <v/>
      </c>
      <c r="AK54" s="42" t="str">
        <f>IF(AND('Mapa final'!$AD$64="Muy Baja",'Mapa final'!$AF$64="Catastrófico"),CONCATENATE("R9C",'Mapa final'!$T$64),"")</f>
        <v/>
      </c>
      <c r="AL54" s="42" t="str">
        <f>IF(AND('Mapa final'!$AD$65="Muy Baja",'Mapa final'!$AF$65="Catastrófico"),CONCATENATE("R9C",'Mapa final'!$T$65),"")</f>
        <v/>
      </c>
      <c r="AM54" s="43" t="str">
        <f>IF(AND('Mapa final'!$AD$66="Muy Baja",'Mapa final'!$AF$66="Catastrófico"),CONCATENATE("R9C",'Mapa final'!$T$66),"")</f>
        <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399"/>
      <c r="C55" s="399"/>
      <c r="D55" s="400"/>
      <c r="E55" s="499"/>
      <c r="F55" s="500"/>
      <c r="G55" s="500"/>
      <c r="H55" s="500"/>
      <c r="I55" s="514"/>
      <c r="J55" s="65" t="str">
        <f>IF(AND('Mapa final'!$AD$67="Muy Baja",'Mapa final'!$AF$67="Leve"),CONCATENATE("R10C",'Mapa final'!$T$67),"")</f>
        <v/>
      </c>
      <c r="K55" s="66" t="str">
        <f>IF(AND('Mapa final'!$AD$68="Muy Baja",'Mapa final'!$AF$68="Leve"),CONCATENATE("R10C",'Mapa final'!$T$68),"")</f>
        <v/>
      </c>
      <c r="L55" s="66" t="str">
        <f>IF(AND('Mapa final'!$AD$69="Muy Baja",'Mapa final'!$AF$69="Leve"),CONCATENATE("R10C",'Mapa final'!$T$69),"")</f>
        <v/>
      </c>
      <c r="M55" s="66" t="str">
        <f>IF(AND('Mapa final'!$AD$70="Muy Baja",'Mapa final'!$AF$70="Leve"),CONCATENATE("R10C",'Mapa final'!$T$70),"")</f>
        <v/>
      </c>
      <c r="N55" s="66" t="str">
        <f>IF(AND('Mapa final'!$AD$71="Muy Baja",'Mapa final'!$AF$71="Leve"),CONCATENATE("R10C",'Mapa final'!$T$71),"")</f>
        <v/>
      </c>
      <c r="O55" s="67" t="str">
        <f>IF(AND('Mapa final'!$AD$72="Muy Baja",'Mapa final'!$AF$72="Leve"),CONCATENATE("R10C",'Mapa final'!$T$72),"")</f>
        <v/>
      </c>
      <c r="P55" s="65" t="str">
        <f>IF(AND('Mapa final'!$AD$67="Muy Baja",'Mapa final'!$AF$67="Menor"),CONCATENATE("R10C",'Mapa final'!$T$67),"")</f>
        <v/>
      </c>
      <c r="Q55" s="66" t="str">
        <f>IF(AND('Mapa final'!$AD$68="Muy Baja",'Mapa final'!$AF$68="Menor"),CONCATENATE("R10C",'Mapa final'!$T$68),"")</f>
        <v/>
      </c>
      <c r="R55" s="66" t="str">
        <f>IF(AND('Mapa final'!$AD$69="Muy Baja",'Mapa final'!$AF$69="Menor"),CONCATENATE("R10C",'Mapa final'!$T$69),"")</f>
        <v/>
      </c>
      <c r="S55" s="66" t="str">
        <f>IF(AND('Mapa final'!$AD$70="Muy Baja",'Mapa final'!$AF$70="Menor"),CONCATENATE("R10C",'Mapa final'!$T$70),"")</f>
        <v/>
      </c>
      <c r="T55" s="66" t="str">
        <f>IF(AND('Mapa final'!$AD$71="Muy Baja",'Mapa final'!$AF$71="Menor"),CONCATENATE("R10C",'Mapa final'!$T$71),"")</f>
        <v/>
      </c>
      <c r="U55" s="67" t="str">
        <f>IF(AND('Mapa final'!$AD$72="Muy Baja",'Mapa final'!$AF$72="Menor"),CONCATENATE("R10C",'Mapa final'!$T$72),"")</f>
        <v/>
      </c>
      <c r="V55" s="56" t="str">
        <f>IF(AND('Mapa final'!$AD$67="Muy Baja",'Mapa final'!$AF$67="Moderado"),CONCATENATE("R10C",'Mapa final'!$T$67),"")</f>
        <v/>
      </c>
      <c r="W55" s="57" t="str">
        <f>IF(AND('Mapa final'!$AD$68="Muy Baja",'Mapa final'!$AF$68="Moderado"),CONCATENATE("R10C",'Mapa final'!$T$68),"")</f>
        <v/>
      </c>
      <c r="X55" s="57" t="str">
        <f>IF(AND('Mapa final'!$AD$69="Muy Baja",'Mapa final'!$AF$69="Moderado"),CONCATENATE("R10C",'Mapa final'!$T$69),"")</f>
        <v/>
      </c>
      <c r="Y55" s="57" t="str">
        <f>IF(AND('Mapa final'!$AD$70="Muy Baja",'Mapa final'!$AF$70="Moderado"),CONCATENATE("R10C",'Mapa final'!$T$70),"")</f>
        <v/>
      </c>
      <c r="Z55" s="57" t="str">
        <f>IF(AND('Mapa final'!$AD$71="Muy Baja",'Mapa final'!$AF$71="Moderado"),CONCATENATE("R10C",'Mapa final'!$T$71),"")</f>
        <v/>
      </c>
      <c r="AA55" s="58" t="str">
        <f>IF(AND('Mapa final'!$AD$72="Muy Baja",'Mapa final'!$AF$72="Moderado"),CONCATENATE("R10C",'Mapa final'!$T$72),"")</f>
        <v/>
      </c>
      <c r="AB55" s="44" t="str">
        <f>IF(AND('Mapa final'!$AD$67="Muy Baja",'Mapa final'!$AF$67="Mayor"),CONCATENATE("R10C",'Mapa final'!$T$67),"")</f>
        <v/>
      </c>
      <c r="AC55" s="45" t="str">
        <f>IF(AND('Mapa final'!$AD$68="Muy Baja",'Mapa final'!$AF$68="Mayor"),CONCATENATE("R10C",'Mapa final'!$T$68),"")</f>
        <v/>
      </c>
      <c r="AD55" s="45" t="str">
        <f>IF(AND('Mapa final'!$AD$69="Muy Baja",'Mapa final'!$AF$69="Mayor"),CONCATENATE("R10C",'Mapa final'!$T$69),"")</f>
        <v/>
      </c>
      <c r="AE55" s="45" t="str">
        <f>IF(AND('Mapa final'!$AD$70="Muy Baja",'Mapa final'!$AF$70="Mayor"),CONCATENATE("R10C",'Mapa final'!$T$70),"")</f>
        <v/>
      </c>
      <c r="AF55" s="45" t="str">
        <f>IF(AND('Mapa final'!$AD$71="Muy Baja",'Mapa final'!$AF$71="Mayor"),CONCATENATE("R10C",'Mapa final'!$T$71),"")</f>
        <v/>
      </c>
      <c r="AG55" s="46" t="str">
        <f>IF(AND('Mapa final'!$AD$72="Muy Baja",'Mapa final'!$AF$72="Mayor"),CONCATENATE("R10C",'Mapa final'!$T$72),"")</f>
        <v/>
      </c>
      <c r="AH55" s="47" t="str">
        <f>IF(AND('Mapa final'!$AD$67="Muy Baja",'Mapa final'!$AF$67="Catastrófico"),CONCATENATE("R10C",'Mapa final'!$T$67),"")</f>
        <v/>
      </c>
      <c r="AI55" s="48" t="str">
        <f>IF(AND('Mapa final'!$AD$68="Muy Baja",'Mapa final'!$AF$68="Catastrófico"),CONCATENATE("R10C",'Mapa final'!$T$68),"")</f>
        <v/>
      </c>
      <c r="AJ55" s="48" t="str">
        <f>IF(AND('Mapa final'!$AD$69="Muy Baja",'Mapa final'!$AF$69="Catastrófico"),CONCATENATE("R10C",'Mapa final'!$T$69),"")</f>
        <v/>
      </c>
      <c r="AK55" s="48" t="str">
        <f>IF(AND('Mapa final'!$AD$70="Muy Baja",'Mapa final'!$AF$70="Catastrófico"),CONCATENATE("R10C",'Mapa final'!$T$70),"")</f>
        <v/>
      </c>
      <c r="AL55" s="48" t="str">
        <f>IF(AND('Mapa final'!$AD$71="Muy Baja",'Mapa final'!$AF$71="Catastrófico"),CONCATENATE("R10C",'Mapa final'!$T$71),"")</f>
        <v/>
      </c>
      <c r="AM55" s="49" t="str">
        <f>IF(AND('Mapa final'!$AD$72="Muy Baja",'Mapa final'!$AF$72="Catastrófico"),CONCATENATE("R10C",'Mapa final'!$T$72),"")</f>
        <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494" t="s">
        <v>112</v>
      </c>
      <c r="K56" s="495"/>
      <c r="L56" s="495"/>
      <c r="M56" s="495"/>
      <c r="N56" s="495"/>
      <c r="O56" s="512"/>
      <c r="P56" s="494" t="s">
        <v>111</v>
      </c>
      <c r="Q56" s="495"/>
      <c r="R56" s="495"/>
      <c r="S56" s="495"/>
      <c r="T56" s="495"/>
      <c r="U56" s="512"/>
      <c r="V56" s="494" t="s">
        <v>110</v>
      </c>
      <c r="W56" s="495"/>
      <c r="X56" s="495"/>
      <c r="Y56" s="495"/>
      <c r="Z56" s="495"/>
      <c r="AA56" s="512"/>
      <c r="AB56" s="494" t="s">
        <v>109</v>
      </c>
      <c r="AC56" s="533"/>
      <c r="AD56" s="495"/>
      <c r="AE56" s="495"/>
      <c r="AF56" s="495"/>
      <c r="AG56" s="512"/>
      <c r="AH56" s="494" t="s">
        <v>108</v>
      </c>
      <c r="AI56" s="495"/>
      <c r="AJ56" s="495"/>
      <c r="AK56" s="495"/>
      <c r="AL56" s="495"/>
      <c r="AM56" s="512"/>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498"/>
      <c r="K57" s="497"/>
      <c r="L57" s="497"/>
      <c r="M57" s="497"/>
      <c r="N57" s="497"/>
      <c r="O57" s="513"/>
      <c r="P57" s="498"/>
      <c r="Q57" s="497"/>
      <c r="R57" s="497"/>
      <c r="S57" s="497"/>
      <c r="T57" s="497"/>
      <c r="U57" s="513"/>
      <c r="V57" s="498"/>
      <c r="W57" s="497"/>
      <c r="X57" s="497"/>
      <c r="Y57" s="497"/>
      <c r="Z57" s="497"/>
      <c r="AA57" s="513"/>
      <c r="AB57" s="498"/>
      <c r="AC57" s="497"/>
      <c r="AD57" s="497"/>
      <c r="AE57" s="497"/>
      <c r="AF57" s="497"/>
      <c r="AG57" s="513"/>
      <c r="AH57" s="498"/>
      <c r="AI57" s="497"/>
      <c r="AJ57" s="497"/>
      <c r="AK57" s="497"/>
      <c r="AL57" s="497"/>
      <c r="AM57" s="513"/>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498"/>
      <c r="K58" s="497"/>
      <c r="L58" s="497"/>
      <c r="M58" s="497"/>
      <c r="N58" s="497"/>
      <c r="O58" s="513"/>
      <c r="P58" s="498"/>
      <c r="Q58" s="497"/>
      <c r="R58" s="497"/>
      <c r="S58" s="497"/>
      <c r="T58" s="497"/>
      <c r="U58" s="513"/>
      <c r="V58" s="498"/>
      <c r="W58" s="497"/>
      <c r="X58" s="497"/>
      <c r="Y58" s="497"/>
      <c r="Z58" s="497"/>
      <c r="AA58" s="513"/>
      <c r="AB58" s="498"/>
      <c r="AC58" s="497"/>
      <c r="AD58" s="497"/>
      <c r="AE58" s="497"/>
      <c r="AF58" s="497"/>
      <c r="AG58" s="513"/>
      <c r="AH58" s="498"/>
      <c r="AI58" s="497"/>
      <c r="AJ58" s="497"/>
      <c r="AK58" s="497"/>
      <c r="AL58" s="497"/>
      <c r="AM58" s="513"/>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498"/>
      <c r="K59" s="497"/>
      <c r="L59" s="497"/>
      <c r="M59" s="497"/>
      <c r="N59" s="497"/>
      <c r="O59" s="513"/>
      <c r="P59" s="498"/>
      <c r="Q59" s="497"/>
      <c r="R59" s="497"/>
      <c r="S59" s="497"/>
      <c r="T59" s="497"/>
      <c r="U59" s="513"/>
      <c r="V59" s="498"/>
      <c r="W59" s="497"/>
      <c r="X59" s="497"/>
      <c r="Y59" s="497"/>
      <c r="Z59" s="497"/>
      <c r="AA59" s="513"/>
      <c r="AB59" s="498"/>
      <c r="AC59" s="497"/>
      <c r="AD59" s="497"/>
      <c r="AE59" s="497"/>
      <c r="AF59" s="497"/>
      <c r="AG59" s="513"/>
      <c r="AH59" s="498"/>
      <c r="AI59" s="497"/>
      <c r="AJ59" s="497"/>
      <c r="AK59" s="497"/>
      <c r="AL59" s="497"/>
      <c r="AM59" s="513"/>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498"/>
      <c r="K60" s="497"/>
      <c r="L60" s="497"/>
      <c r="M60" s="497"/>
      <c r="N60" s="497"/>
      <c r="O60" s="513"/>
      <c r="P60" s="498"/>
      <c r="Q60" s="497"/>
      <c r="R60" s="497"/>
      <c r="S60" s="497"/>
      <c r="T60" s="497"/>
      <c r="U60" s="513"/>
      <c r="V60" s="498"/>
      <c r="W60" s="497"/>
      <c r="X60" s="497"/>
      <c r="Y60" s="497"/>
      <c r="Z60" s="497"/>
      <c r="AA60" s="513"/>
      <c r="AB60" s="498"/>
      <c r="AC60" s="497"/>
      <c r="AD60" s="497"/>
      <c r="AE60" s="497"/>
      <c r="AF60" s="497"/>
      <c r="AG60" s="513"/>
      <c r="AH60" s="498"/>
      <c r="AI60" s="497"/>
      <c r="AJ60" s="497"/>
      <c r="AK60" s="497"/>
      <c r="AL60" s="497"/>
      <c r="AM60" s="513"/>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499"/>
      <c r="K61" s="500"/>
      <c r="L61" s="500"/>
      <c r="M61" s="500"/>
      <c r="N61" s="500"/>
      <c r="O61" s="514"/>
      <c r="P61" s="499"/>
      <c r="Q61" s="500"/>
      <c r="R61" s="500"/>
      <c r="S61" s="500"/>
      <c r="T61" s="500"/>
      <c r="U61" s="514"/>
      <c r="V61" s="499"/>
      <c r="W61" s="500"/>
      <c r="X61" s="500"/>
      <c r="Y61" s="500"/>
      <c r="Z61" s="500"/>
      <c r="AA61" s="514"/>
      <c r="AB61" s="499"/>
      <c r="AC61" s="500"/>
      <c r="AD61" s="500"/>
      <c r="AE61" s="500"/>
      <c r="AF61" s="500"/>
      <c r="AG61" s="514"/>
      <c r="AH61" s="499"/>
      <c r="AI61" s="500"/>
      <c r="AJ61" s="500"/>
      <c r="AK61" s="500"/>
      <c r="AL61" s="500"/>
      <c r="AM61" s="514"/>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0B0F0"/>
  </sheetPr>
  <dimension ref="A1:AK55"/>
  <sheetViews>
    <sheetView zoomScale="90" zoomScaleNormal="90" workbookViewId="0">
      <selection activeCell="E5" sqref="E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534" t="s">
        <v>55</v>
      </c>
      <c r="C1" s="534"/>
      <c r="D1" s="534"/>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52</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51</v>
      </c>
      <c r="C4" s="6" t="s">
        <v>102</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53</v>
      </c>
      <c r="C5" s="9" t="s">
        <v>103</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107</v>
      </c>
      <c r="C6" s="9" t="s">
        <v>104</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105</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54</v>
      </c>
      <c r="C8" s="9" t="s">
        <v>106</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6" tint="-0.249977111117893"/>
  </sheetPr>
  <dimension ref="A1:U232"/>
  <sheetViews>
    <sheetView zoomScale="60" zoomScaleNormal="60" workbookViewId="0">
      <selection activeCell="D39" sqref="D39"/>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535" t="s">
        <v>63</v>
      </c>
      <c r="C1" s="535"/>
      <c r="D1" s="535"/>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56</v>
      </c>
      <c r="D3" s="22" t="s">
        <v>57</v>
      </c>
      <c r="E3" s="69"/>
      <c r="F3" s="69"/>
      <c r="G3" s="69"/>
      <c r="H3" s="69"/>
      <c r="I3" s="69"/>
      <c r="J3" s="69"/>
      <c r="K3" s="69"/>
      <c r="L3" s="69"/>
      <c r="M3" s="69"/>
      <c r="N3" s="69"/>
      <c r="O3" s="69"/>
      <c r="P3" s="69"/>
      <c r="Q3" s="69"/>
      <c r="R3" s="69"/>
      <c r="S3" s="69"/>
      <c r="T3" s="69"/>
      <c r="U3" s="69"/>
    </row>
    <row r="4" spans="1:21" ht="33.75" x14ac:dyDescent="0.25">
      <c r="A4" s="89" t="s">
        <v>83</v>
      </c>
      <c r="B4" s="25" t="s">
        <v>101</v>
      </c>
      <c r="C4" s="30" t="s">
        <v>156</v>
      </c>
      <c r="D4" s="23" t="s">
        <v>97</v>
      </c>
      <c r="E4" s="69"/>
      <c r="F4" s="69"/>
      <c r="G4" s="69"/>
      <c r="H4" s="69"/>
      <c r="I4" s="69"/>
      <c r="J4" s="69"/>
      <c r="K4" s="69"/>
      <c r="L4" s="69"/>
      <c r="M4" s="69"/>
      <c r="N4" s="69"/>
      <c r="O4" s="69"/>
      <c r="P4" s="69"/>
      <c r="Q4" s="69"/>
      <c r="R4" s="69"/>
      <c r="S4" s="69"/>
      <c r="T4" s="69"/>
      <c r="U4" s="69"/>
    </row>
    <row r="5" spans="1:21" ht="67.5" x14ac:dyDescent="0.25">
      <c r="A5" s="89" t="s">
        <v>84</v>
      </c>
      <c r="B5" s="26" t="s">
        <v>59</v>
      </c>
      <c r="C5" s="31" t="s">
        <v>93</v>
      </c>
      <c r="D5" s="24" t="s">
        <v>98</v>
      </c>
      <c r="E5" s="69"/>
      <c r="F5" s="69"/>
      <c r="G5" s="69"/>
      <c r="H5" s="69"/>
      <c r="I5" s="69"/>
      <c r="J5" s="69"/>
      <c r="K5" s="69"/>
      <c r="L5" s="69"/>
      <c r="M5" s="69"/>
      <c r="N5" s="69"/>
      <c r="O5" s="69"/>
      <c r="P5" s="69"/>
      <c r="Q5" s="69"/>
      <c r="R5" s="69"/>
      <c r="S5" s="69"/>
      <c r="T5" s="69"/>
      <c r="U5" s="69"/>
    </row>
    <row r="6" spans="1:21" ht="67.5" x14ac:dyDescent="0.25">
      <c r="A6" s="89" t="s">
        <v>81</v>
      </c>
      <c r="B6" s="27" t="s">
        <v>60</v>
      </c>
      <c r="C6" s="31" t="s">
        <v>94</v>
      </c>
      <c r="D6" s="24" t="s">
        <v>100</v>
      </c>
      <c r="E6" s="69"/>
      <c r="F6" s="69"/>
      <c r="G6" s="69"/>
      <c r="H6" s="69"/>
      <c r="I6" s="69"/>
      <c r="J6" s="69"/>
      <c r="K6" s="69"/>
      <c r="L6" s="69"/>
      <c r="M6" s="69"/>
      <c r="N6" s="69"/>
      <c r="O6" s="69"/>
      <c r="P6" s="69"/>
      <c r="Q6" s="69"/>
      <c r="R6" s="69"/>
      <c r="S6" s="69"/>
      <c r="T6" s="69"/>
      <c r="U6" s="69"/>
    </row>
    <row r="7" spans="1:21" ht="101.25" x14ac:dyDescent="0.25">
      <c r="A7" s="89" t="s">
        <v>7</v>
      </c>
      <c r="B7" s="28" t="s">
        <v>61</v>
      </c>
      <c r="C7" s="31" t="s">
        <v>95</v>
      </c>
      <c r="D7" s="24" t="s">
        <v>99</v>
      </c>
      <c r="E7" s="69"/>
      <c r="F7" s="69"/>
      <c r="G7" s="69"/>
      <c r="H7" s="69"/>
      <c r="I7" s="69"/>
      <c r="J7" s="69"/>
      <c r="K7" s="69"/>
      <c r="L7" s="69"/>
      <c r="M7" s="69"/>
      <c r="N7" s="69"/>
      <c r="O7" s="69"/>
      <c r="P7" s="69"/>
      <c r="Q7" s="69"/>
      <c r="R7" s="69"/>
      <c r="S7" s="69"/>
      <c r="T7" s="69"/>
      <c r="U7" s="69"/>
    </row>
    <row r="8" spans="1:21" ht="67.5" x14ac:dyDescent="0.25">
      <c r="A8" s="89" t="s">
        <v>85</v>
      </c>
      <c r="B8" s="29" t="s">
        <v>62</v>
      </c>
      <c r="C8" s="31" t="s">
        <v>96</v>
      </c>
      <c r="D8" s="24" t="s">
        <v>118</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91</v>
      </c>
      <c r="C11" s="89" t="s">
        <v>144</v>
      </c>
      <c r="D11" s="89" t="s">
        <v>151</v>
      </c>
      <c r="E11" s="69"/>
      <c r="F11" s="69"/>
      <c r="G11" s="69"/>
      <c r="H11" s="69"/>
      <c r="I11" s="69"/>
      <c r="J11" s="69"/>
      <c r="K11" s="69"/>
      <c r="L11" s="69"/>
      <c r="M11" s="69"/>
      <c r="N11" s="69"/>
      <c r="O11" s="69"/>
      <c r="P11" s="69"/>
      <c r="Q11" s="69"/>
      <c r="R11" s="69"/>
      <c r="S11" s="69"/>
      <c r="T11" s="69"/>
      <c r="U11" s="69"/>
    </row>
    <row r="12" spans="1:21" x14ac:dyDescent="0.25">
      <c r="A12" s="89"/>
      <c r="B12" s="89" t="s">
        <v>89</v>
      </c>
      <c r="C12" s="89" t="s">
        <v>148</v>
      </c>
      <c r="D12" s="89" t="s">
        <v>152</v>
      </c>
      <c r="E12" s="69"/>
      <c r="F12" s="69"/>
      <c r="G12" s="69"/>
      <c r="H12" s="69"/>
      <c r="I12" s="69"/>
      <c r="J12" s="69"/>
      <c r="K12" s="69"/>
      <c r="L12" s="69"/>
      <c r="M12" s="69"/>
      <c r="N12" s="69"/>
      <c r="O12" s="69"/>
      <c r="P12" s="69"/>
      <c r="Q12" s="69"/>
      <c r="R12" s="69"/>
      <c r="S12" s="69"/>
      <c r="T12" s="69"/>
      <c r="U12" s="69"/>
    </row>
    <row r="13" spans="1:21" x14ac:dyDescent="0.25">
      <c r="A13" s="89"/>
      <c r="B13" s="89"/>
      <c r="C13" s="89" t="s">
        <v>147</v>
      </c>
      <c r="D13" s="89" t="s">
        <v>153</v>
      </c>
      <c r="E13" s="69"/>
      <c r="F13" s="69"/>
      <c r="G13" s="69"/>
      <c r="H13" s="69"/>
      <c r="I13" s="69"/>
      <c r="J13" s="69"/>
      <c r="K13" s="69"/>
      <c r="L13" s="69"/>
      <c r="M13" s="69"/>
      <c r="N13" s="69"/>
      <c r="O13" s="69"/>
      <c r="P13" s="69"/>
      <c r="Q13" s="69"/>
      <c r="R13" s="69"/>
      <c r="S13" s="69"/>
      <c r="T13" s="69"/>
      <c r="U13" s="69"/>
    </row>
    <row r="14" spans="1:21" x14ac:dyDescent="0.25">
      <c r="A14" s="89"/>
      <c r="B14" s="89"/>
      <c r="C14" s="89" t="s">
        <v>149</v>
      </c>
      <c r="D14" s="89" t="s">
        <v>154</v>
      </c>
      <c r="E14" s="69"/>
      <c r="F14" s="69"/>
      <c r="G14" s="69"/>
      <c r="H14" s="69"/>
      <c r="I14" s="69"/>
      <c r="J14" s="69"/>
      <c r="K14" s="69"/>
      <c r="L14" s="69"/>
      <c r="M14" s="69"/>
      <c r="N14" s="69"/>
      <c r="O14" s="69"/>
      <c r="P14" s="69"/>
      <c r="Q14" s="69"/>
      <c r="R14" s="69"/>
      <c r="S14" s="69"/>
      <c r="T14" s="69"/>
      <c r="U14" s="69"/>
    </row>
    <row r="15" spans="1:21" x14ac:dyDescent="0.25">
      <c r="A15" s="89"/>
      <c r="B15" s="89"/>
      <c r="C15" s="89" t="s">
        <v>150</v>
      </c>
      <c r="D15" s="89" t="s">
        <v>155</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88</v>
      </c>
      <c r="C209" s="16" t="s">
        <v>143</v>
      </c>
      <c r="D209" s="19" t="s">
        <v>88</v>
      </c>
      <c r="E209" s="19" t="s">
        <v>143</v>
      </c>
    </row>
    <row r="210" spans="1:8" ht="21" x14ac:dyDescent="0.35">
      <c r="A210" s="69"/>
      <c r="B210" s="17" t="s">
        <v>90</v>
      </c>
      <c r="C210" s="1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69"/>
      <c r="B211" s="17" t="s">
        <v>90</v>
      </c>
      <c r="C211" s="17" t="s">
        <v>93</v>
      </c>
      <c r="E211" t="s">
        <v>58</v>
      </c>
      <c r="F211" t="str">
        <f t="shared" ref="F211:F221" si="0">IF(NOT(ISBLANK(D211)),D211,IF(NOT(ISBLANK(E211)),"     "&amp;E211,FALSE))</f>
        <v xml:space="preserve">     Afectación menor a 10 SMLMV .</v>
      </c>
    </row>
    <row r="212" spans="1:8" ht="21" x14ac:dyDescent="0.35">
      <c r="A212" s="69"/>
      <c r="B212" s="17" t="s">
        <v>90</v>
      </c>
      <c r="C212" s="17" t="s">
        <v>94</v>
      </c>
      <c r="E212" t="s">
        <v>93</v>
      </c>
      <c r="F212" t="str">
        <f t="shared" si="0"/>
        <v xml:space="preserve">     Entre 10 y 50 SMLMV </v>
      </c>
    </row>
    <row r="213" spans="1:8" ht="21" x14ac:dyDescent="0.35">
      <c r="A213" s="69"/>
      <c r="B213" s="17" t="s">
        <v>90</v>
      </c>
      <c r="C213" s="17" t="s">
        <v>95</v>
      </c>
      <c r="E213" t="s">
        <v>94</v>
      </c>
      <c r="F213" t="str">
        <f t="shared" si="0"/>
        <v xml:space="preserve">     Entre 50 y 100 SMLMV </v>
      </c>
    </row>
    <row r="214" spans="1:8" ht="21" x14ac:dyDescent="0.35">
      <c r="A214" s="69"/>
      <c r="B214" s="17" t="s">
        <v>90</v>
      </c>
      <c r="C214" s="17" t="s">
        <v>96</v>
      </c>
      <c r="E214" t="s">
        <v>95</v>
      </c>
      <c r="F214" t="str">
        <f t="shared" si="0"/>
        <v xml:space="preserve">     Entre 100 y 500 SMLMV </v>
      </c>
    </row>
    <row r="215" spans="1:8" ht="21" x14ac:dyDescent="0.35">
      <c r="A215" s="69"/>
      <c r="B215" s="17" t="s">
        <v>57</v>
      </c>
      <c r="C215" s="17" t="s">
        <v>97</v>
      </c>
      <c r="E215" t="s">
        <v>96</v>
      </c>
      <c r="F215" t="str">
        <f t="shared" si="0"/>
        <v xml:space="preserve">     Mayor a 500 SMLMV </v>
      </c>
    </row>
    <row r="216" spans="1:8" ht="21" x14ac:dyDescent="0.35">
      <c r="A216" s="69"/>
      <c r="B216" s="17" t="s">
        <v>57</v>
      </c>
      <c r="C216" s="17" t="s">
        <v>98</v>
      </c>
      <c r="D216" t="s">
        <v>57</v>
      </c>
      <c r="F216" t="str">
        <f t="shared" si="0"/>
        <v>Pérdida Reputacional</v>
      </c>
    </row>
    <row r="217" spans="1:8" ht="21" x14ac:dyDescent="0.35">
      <c r="A217" s="69"/>
      <c r="B217" s="17" t="s">
        <v>57</v>
      </c>
      <c r="C217" s="17" t="s">
        <v>100</v>
      </c>
      <c r="E217" t="s">
        <v>97</v>
      </c>
      <c r="F217" t="str">
        <f t="shared" si="0"/>
        <v xml:space="preserve">     El riesgo afecta la imagen de alguna área de la organización</v>
      </c>
    </row>
    <row r="218" spans="1:8" ht="21" x14ac:dyDescent="0.35">
      <c r="A218" s="69"/>
      <c r="B218" s="17" t="s">
        <v>57</v>
      </c>
      <c r="C218" s="17" t="s">
        <v>99</v>
      </c>
      <c r="E218" t="s">
        <v>98</v>
      </c>
      <c r="F218" t="str">
        <f t="shared" si="0"/>
        <v xml:space="preserve">     El riesgo afecta la imagen de la entidad internamente, de conocimiento general, nivel interno, de junta dircetiva y accionistas y/o de provedores</v>
      </c>
    </row>
    <row r="219" spans="1:8" ht="21" x14ac:dyDescent="0.35">
      <c r="A219" s="69"/>
      <c r="B219" s="17" t="s">
        <v>57</v>
      </c>
      <c r="C219" s="17" t="s">
        <v>118</v>
      </c>
      <c r="E219" t="s">
        <v>100</v>
      </c>
      <c r="F219" t="str">
        <f t="shared" si="0"/>
        <v xml:space="preserve">     El riesgo afecta la imagen de la entidad con algunos usuarios de relevancia frente al logro de los objetivos</v>
      </c>
    </row>
    <row r="220" spans="1:8" x14ac:dyDescent="0.25">
      <c r="A220" s="69"/>
      <c r="B220" s="18"/>
      <c r="C220" s="18"/>
      <c r="E220" t="s">
        <v>99</v>
      </c>
      <c r="F220" t="str">
        <f t="shared" si="0"/>
        <v xml:space="preserve">     El riesgo afecta la imagen de de la entidad con efecto publicitario sostenido a nivel de sector administrativo, nivel departamental o municipal</v>
      </c>
    </row>
    <row r="221" spans="1:8" x14ac:dyDescent="0.25">
      <c r="A221" s="69"/>
      <c r="B221" s="18" t="str" cm="1">
        <f t="array" ref="B221:B223">_xlfn.UNIQUE(Tabla1[[#All],[Criterios]])</f>
        <v>Criterios</v>
      </c>
      <c r="C221" s="18"/>
      <c r="E221" t="s">
        <v>118</v>
      </c>
      <c r="F221" t="str">
        <f t="shared" si="0"/>
        <v xml:space="preserve">     El riesgo afecta la imagen de la entidad a nivel nacional, con efecto publicitarios sostenible a nivel país</v>
      </c>
    </row>
    <row r="222" spans="1:8" x14ac:dyDescent="0.25">
      <c r="A222" s="69"/>
      <c r="B222" s="18" t="str">
        <v>Afectación Económica o presupuestal</v>
      </c>
      <c r="C222" s="18"/>
    </row>
    <row r="223" spans="1:8" x14ac:dyDescent="0.25">
      <c r="B223" s="18" t="str">
        <v>Pérdida Reputacional</v>
      </c>
      <c r="C223" s="18"/>
      <c r="F223" s="21" t="s">
        <v>145</v>
      </c>
    </row>
    <row r="224" spans="1:8" x14ac:dyDescent="0.25">
      <c r="B224" s="14"/>
      <c r="C224" s="14"/>
      <c r="F224" s="21" t="s">
        <v>146</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7" tint="-0.249977111117893"/>
  </sheetPr>
  <dimension ref="B1:F16"/>
  <sheetViews>
    <sheetView topLeftCell="A7" workbookViewId="0">
      <selection activeCell="I14" sqref="I14"/>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536" t="s">
        <v>78</v>
      </c>
      <c r="C1" s="537"/>
      <c r="D1" s="537"/>
      <c r="E1" s="537"/>
      <c r="F1" s="538"/>
    </row>
    <row r="2" spans="2:6" ht="16.5" thickBot="1" x14ac:dyDescent="0.3">
      <c r="B2" s="75"/>
      <c r="C2" s="75"/>
      <c r="D2" s="75"/>
      <c r="E2" s="75"/>
      <c r="F2" s="75"/>
    </row>
    <row r="3" spans="2:6" ht="16.5" thickBot="1" x14ac:dyDescent="0.25">
      <c r="B3" s="540" t="s">
        <v>64</v>
      </c>
      <c r="C3" s="541"/>
      <c r="D3" s="541"/>
      <c r="E3" s="87" t="s">
        <v>65</v>
      </c>
      <c r="F3" s="88" t="s">
        <v>66</v>
      </c>
    </row>
    <row r="4" spans="2:6" ht="31.5" x14ac:dyDescent="0.2">
      <c r="B4" s="542" t="s">
        <v>67</v>
      </c>
      <c r="C4" s="544" t="s">
        <v>13</v>
      </c>
      <c r="D4" s="76" t="s">
        <v>14</v>
      </c>
      <c r="E4" s="77" t="s">
        <v>68</v>
      </c>
      <c r="F4" s="78">
        <v>0.25</v>
      </c>
    </row>
    <row r="5" spans="2:6" ht="47.25" x14ac:dyDescent="0.2">
      <c r="B5" s="543"/>
      <c r="C5" s="545"/>
      <c r="D5" s="79" t="s">
        <v>15</v>
      </c>
      <c r="E5" s="80" t="s">
        <v>69</v>
      </c>
      <c r="F5" s="81">
        <v>0.15</v>
      </c>
    </row>
    <row r="6" spans="2:6" ht="47.25" x14ac:dyDescent="0.2">
      <c r="B6" s="543"/>
      <c r="C6" s="545"/>
      <c r="D6" s="79" t="s">
        <v>16</v>
      </c>
      <c r="E6" s="80" t="s">
        <v>70</v>
      </c>
      <c r="F6" s="81">
        <v>0.1</v>
      </c>
    </row>
    <row r="7" spans="2:6" ht="63" x14ac:dyDescent="0.2">
      <c r="B7" s="543"/>
      <c r="C7" s="545" t="s">
        <v>17</v>
      </c>
      <c r="D7" s="79" t="s">
        <v>10</v>
      </c>
      <c r="E7" s="80" t="s">
        <v>71</v>
      </c>
      <c r="F7" s="81">
        <v>0.25</v>
      </c>
    </row>
    <row r="8" spans="2:6" ht="31.5" x14ac:dyDescent="0.2">
      <c r="B8" s="543"/>
      <c r="C8" s="545"/>
      <c r="D8" s="79" t="s">
        <v>9</v>
      </c>
      <c r="E8" s="80" t="s">
        <v>72</v>
      </c>
      <c r="F8" s="81">
        <v>0.15</v>
      </c>
    </row>
    <row r="9" spans="2:6" ht="47.25" x14ac:dyDescent="0.2">
      <c r="B9" s="543" t="s">
        <v>160</v>
      </c>
      <c r="C9" s="545" t="s">
        <v>18</v>
      </c>
      <c r="D9" s="79" t="s">
        <v>19</v>
      </c>
      <c r="E9" s="80" t="s">
        <v>73</v>
      </c>
      <c r="F9" s="82" t="s">
        <v>74</v>
      </c>
    </row>
    <row r="10" spans="2:6" ht="63" x14ac:dyDescent="0.2">
      <c r="B10" s="543"/>
      <c r="C10" s="545"/>
      <c r="D10" s="79" t="s">
        <v>20</v>
      </c>
      <c r="E10" s="80" t="s">
        <v>75</v>
      </c>
      <c r="F10" s="82" t="s">
        <v>74</v>
      </c>
    </row>
    <row r="11" spans="2:6" ht="47.25" x14ac:dyDescent="0.2">
      <c r="B11" s="543"/>
      <c r="C11" s="545" t="s">
        <v>21</v>
      </c>
      <c r="D11" s="79" t="s">
        <v>22</v>
      </c>
      <c r="E11" s="80" t="s">
        <v>76</v>
      </c>
      <c r="F11" s="82" t="s">
        <v>74</v>
      </c>
    </row>
    <row r="12" spans="2:6" ht="47.25" x14ac:dyDescent="0.2">
      <c r="B12" s="543"/>
      <c r="C12" s="545"/>
      <c r="D12" s="79" t="s">
        <v>23</v>
      </c>
      <c r="E12" s="80" t="s">
        <v>77</v>
      </c>
      <c r="F12" s="82" t="s">
        <v>74</v>
      </c>
    </row>
    <row r="13" spans="2:6" ht="31.5" x14ac:dyDescent="0.2">
      <c r="B13" s="543"/>
      <c r="C13" s="545" t="s">
        <v>24</v>
      </c>
      <c r="D13" s="79" t="s">
        <v>119</v>
      </c>
      <c r="E13" s="80" t="s">
        <v>122</v>
      </c>
      <c r="F13" s="82" t="s">
        <v>74</v>
      </c>
    </row>
    <row r="14" spans="2:6" ht="32.25" thickBot="1" x14ac:dyDescent="0.25">
      <c r="B14" s="546"/>
      <c r="C14" s="547"/>
      <c r="D14" s="83" t="s">
        <v>120</v>
      </c>
      <c r="E14" s="84" t="s">
        <v>121</v>
      </c>
      <c r="F14" s="85" t="s">
        <v>74</v>
      </c>
    </row>
    <row r="15" spans="2:6" ht="49.5" customHeight="1" x14ac:dyDescent="0.2">
      <c r="B15" s="539" t="s">
        <v>157</v>
      </c>
      <c r="C15" s="539"/>
      <c r="D15" s="539"/>
      <c r="E15" s="539"/>
      <c r="F15" s="539"/>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Pagina SIG</vt:lpstr>
      <vt:lpstr>Intructivo</vt:lpstr>
      <vt:lpstr>Intructivo.</vt:lpstr>
      <vt:lpstr>Mapa final</vt:lpstr>
      <vt:lpstr>Matriz Calor Inherente</vt:lpstr>
      <vt:lpstr>Matriz Calor Residual</vt:lpstr>
      <vt:lpstr>Tabla probabilidad</vt:lpstr>
      <vt:lpstr>Tabla Impacto</vt:lpstr>
      <vt:lpstr>Tabla Valoración controles</vt:lpstr>
      <vt:lpstr>Tabla Impacto Corrupción R1</vt:lpstr>
      <vt:lpstr>Parametros</vt:lpstr>
      <vt:lpstr>Opciones Tratamiento</vt:lpstr>
      <vt:lpstr>Hoja1</vt:lpstr>
      <vt:lpstr>'Mapa final'!Área_de_impresión</vt:lpstr>
      <vt:lpstr>'Mapa final'!Títulos_a_imprimir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TASD. Julia STella  Romero Sandoval</cp:lastModifiedBy>
  <cp:lastPrinted>2022-09-21T18:58:09Z</cp:lastPrinted>
  <dcterms:created xsi:type="dcterms:W3CDTF">2020-03-24T23:12:47Z</dcterms:created>
  <dcterms:modified xsi:type="dcterms:W3CDTF">2023-05-11T21:52:17Z</dcterms:modified>
</cp:coreProperties>
</file>