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hidePivotFieldList="1" defaultThemeVersion="124226"/>
  <mc:AlternateContent xmlns:mc="http://schemas.openxmlformats.org/markup-compatibility/2006">
    <mc:Choice Requires="x15">
      <x15ac:absPath xmlns:x15ac="http://schemas.microsoft.com/office/spreadsheetml/2010/11/ac" url="D:\Users\julirom\Desktop\RIESGOS 2023\"/>
    </mc:Choice>
  </mc:AlternateContent>
  <xr:revisionPtr revIDLastSave="0" documentId="8_{BBBA9315-3ECE-44C3-8013-754E0AC04DE5}" xr6:coauthVersionLast="47" xr6:coauthVersionMax="47" xr10:uidLastSave="{00000000-0000-0000-0000-000000000000}"/>
  <bookViews>
    <workbookView xWindow="-120" yWindow="-120" windowWidth="24240" windowHeight="13140" tabRatio="882" activeTab="3" xr2:uid="{00000000-000D-0000-FFFF-FFFF00000000}"/>
  </bookViews>
  <sheets>
    <sheet name="Pagina SIG" sheetId="23" r:id="rId1"/>
    <sheet name="Intructivo" sheetId="24" r:id="rId2"/>
    <sheet name="Intructivo." sheetId="20" state="hidden" r:id="rId3"/>
    <sheet name="Mapa final" sheetId="1" r:id="rId4"/>
    <sheet name="Matriz Calor Inherente" sheetId="18" r:id="rId5"/>
    <sheet name="Matriz Calor Residual" sheetId="19" r:id="rId6"/>
    <sheet name="Tabla Impacto Corrupción R1" sheetId="22" r:id="rId7"/>
    <sheet name="Tabla probabilidad" sheetId="12" r:id="rId8"/>
    <sheet name="Tabla Impacto" sheetId="13" r:id="rId9"/>
    <sheet name="Tabla Valoración controles" sheetId="15" r:id="rId10"/>
    <sheet name="Parametros" sheetId="21" state="hidden" r:id="rId11"/>
    <sheet name="Opciones Tratamiento" sheetId="16" state="hidden" r:id="rId12"/>
    <sheet name="Hoja1" sheetId="11"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xlnm.Print_Area" localSheetId="3">'Mapa final'!$A$1:$AO$74</definedName>
    <definedName name="_xlnm.Print_Titles" localSheetId="3">'Mapa final'!$9:$11</definedName>
  </definedNames>
  <calcPr calcId="191029"/>
  <pivotCaches>
    <pivotCache cacheId="3" r:id="rId2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1" l="1"/>
  <c r="E23" i="22"/>
  <c r="F23" i="22"/>
  <c r="D23" i="22"/>
  <c r="M23" i="22"/>
  <c r="N23" i="22"/>
  <c r="O23" i="22"/>
  <c r="P23" i="22"/>
  <c r="Q23" i="22"/>
  <c r="R23" i="22"/>
  <c r="G23" i="22"/>
  <c r="H23" i="22"/>
  <c r="I23" i="22"/>
  <c r="J23" i="22"/>
  <c r="K23" i="22"/>
  <c r="L23" i="22"/>
  <c r="C23" i="22"/>
  <c r="V12" i="1"/>
  <c r="M12" i="1"/>
  <c r="N12" i="1" s="1"/>
  <c r="Y12" i="1"/>
  <c r="V13" i="1"/>
  <c r="Y13" i="1"/>
  <c r="V14" i="1"/>
  <c r="V15" i="1"/>
  <c r="V16" i="1"/>
  <c r="V17" i="1"/>
  <c r="V18" i="1"/>
  <c r="V19" i="1"/>
  <c r="V20" i="1"/>
  <c r="V21" i="1"/>
  <c r="V22" i="1"/>
  <c r="V23" i="1"/>
  <c r="V24" i="1"/>
  <c r="V25" i="1"/>
  <c r="V26" i="1"/>
  <c r="V27" i="1"/>
  <c r="V28" i="1"/>
  <c r="V29" i="1"/>
  <c r="V30" i="1"/>
  <c r="V31" i="1"/>
  <c r="V32" i="1"/>
  <c r="R36" i="18"/>
  <c r="AJ28" i="18"/>
  <c r="F221" i="13"/>
  <c r="F211" i="13"/>
  <c r="F212" i="13"/>
  <c r="F213" i="13"/>
  <c r="F214" i="13"/>
  <c r="F215" i="13"/>
  <c r="F216" i="13"/>
  <c r="F217" i="13"/>
  <c r="F218" i="13"/>
  <c r="F219" i="13"/>
  <c r="F220" i="13"/>
  <c r="F210" i="13"/>
  <c r="V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71" i="1"/>
  <c r="V71" i="1"/>
  <c r="AC71" i="1" s="1"/>
  <c r="Y70" i="1"/>
  <c r="V70" i="1"/>
  <c r="AG71" i="1" s="1"/>
  <c r="AF71" i="1" s="1"/>
  <c r="Y69" i="1"/>
  <c r="V69" i="1"/>
  <c r="Y68" i="1"/>
  <c r="V68" i="1"/>
  <c r="Y67" i="1"/>
  <c r="V67" i="1"/>
  <c r="Y66" i="1"/>
  <c r="V66" i="1"/>
  <c r="M66" i="1"/>
  <c r="N66" i="1"/>
  <c r="Y65" i="1"/>
  <c r="V65" i="1"/>
  <c r="Y64" i="1"/>
  <c r="V64" i="1"/>
  <c r="AC65" i="1" s="1"/>
  <c r="AE65" i="1" s="1"/>
  <c r="Y63" i="1"/>
  <c r="V63" i="1"/>
  <c r="AC64" i="1"/>
  <c r="AD64" i="1" s="1"/>
  <c r="AL34" i="19" s="1"/>
  <c r="Y62" i="1"/>
  <c r="V62" i="1"/>
  <c r="Y61" i="1"/>
  <c r="V61" i="1"/>
  <c r="Y60" i="1"/>
  <c r="V60" i="1"/>
  <c r="M60" i="1"/>
  <c r="N60" i="1"/>
  <c r="AC60" i="1" s="1"/>
  <c r="Y59" i="1"/>
  <c r="V59" i="1"/>
  <c r="Y58" i="1"/>
  <c r="V58" i="1"/>
  <c r="Y57" i="1"/>
  <c r="V57" i="1"/>
  <c r="Y56" i="1"/>
  <c r="V56" i="1"/>
  <c r="Y55" i="1"/>
  <c r="V55" i="1"/>
  <c r="Y54" i="1"/>
  <c r="M54" i="1"/>
  <c r="N54" i="1" s="1"/>
  <c r="AC54" i="1" s="1"/>
  <c r="Y53" i="1"/>
  <c r="V53" i="1"/>
  <c r="Y52" i="1"/>
  <c r="V52" i="1"/>
  <c r="Y51" i="1"/>
  <c r="V51" i="1"/>
  <c r="Y50" i="1"/>
  <c r="V50" i="1"/>
  <c r="V48" i="1"/>
  <c r="AC51" i="1"/>
  <c r="Y49" i="1"/>
  <c r="Y48" i="1"/>
  <c r="AC48" i="1" s="1"/>
  <c r="M48" i="1"/>
  <c r="N48" i="1"/>
  <c r="Y47" i="1"/>
  <c r="V47" i="1"/>
  <c r="Y46" i="1"/>
  <c r="V46" i="1"/>
  <c r="AG47" i="1"/>
  <c r="AF47" i="1" s="1"/>
  <c r="Y45" i="1"/>
  <c r="V45" i="1"/>
  <c r="Y44" i="1"/>
  <c r="V44" i="1"/>
  <c r="AC45" i="1" s="1"/>
  <c r="Y43" i="1"/>
  <c r="Y42" i="1"/>
  <c r="AC42" i="1" s="1"/>
  <c r="V42" i="1"/>
  <c r="M42" i="1"/>
  <c r="N42" i="1"/>
  <c r="Y41" i="1"/>
  <c r="V41" i="1"/>
  <c r="Y40" i="1"/>
  <c r="V40" i="1"/>
  <c r="Y39" i="1"/>
  <c r="V39" i="1"/>
  <c r="Y38" i="1"/>
  <c r="Y37" i="1"/>
  <c r="V37" i="1"/>
  <c r="Y36" i="1"/>
  <c r="V36" i="1"/>
  <c r="M36" i="1"/>
  <c r="Y35" i="1"/>
  <c r="V35" i="1"/>
  <c r="Y34" i="1"/>
  <c r="V34" i="1"/>
  <c r="Y33" i="1"/>
  <c r="V33" i="1"/>
  <c r="Y32" i="1"/>
  <c r="Y31" i="1"/>
  <c r="AC31" i="1" s="1"/>
  <c r="Y30" i="1"/>
  <c r="M30" i="1"/>
  <c r="N30" i="1"/>
  <c r="Y29" i="1"/>
  <c r="Y28" i="1"/>
  <c r="Y27" i="1"/>
  <c r="Y26" i="1"/>
  <c r="Y25" i="1"/>
  <c r="AC25" i="1" s="1"/>
  <c r="Y24" i="1"/>
  <c r="M24" i="1"/>
  <c r="N24" i="1"/>
  <c r="M18" i="1"/>
  <c r="N18" i="1" s="1"/>
  <c r="Y23" i="1"/>
  <c r="Y22" i="1"/>
  <c r="Y21" i="1"/>
  <c r="Y20" i="1"/>
  <c r="Y19" i="1"/>
  <c r="Y18" i="1"/>
  <c r="AC24" i="1"/>
  <c r="Y14" i="1"/>
  <c r="Y15" i="1"/>
  <c r="Y16" i="1"/>
  <c r="Y17" i="1"/>
  <c r="AC29" i="1"/>
  <c r="AE29" i="1" s="1"/>
  <c r="AD29" i="1"/>
  <c r="AC17" i="1"/>
  <c r="AE17" i="1"/>
  <c r="AG17" i="1"/>
  <c r="AF17" i="1" s="1"/>
  <c r="AG29" i="1"/>
  <c r="AF29" i="1"/>
  <c r="AG41" i="1"/>
  <c r="AF41" i="1" s="1"/>
  <c r="B221" i="13" a="1"/>
  <c r="B221" i="13" s="1"/>
  <c r="P48" i="1" s="1"/>
  <c r="Q48" i="1" s="1"/>
  <c r="J34" i="18" s="1"/>
  <c r="AC39" i="1"/>
  <c r="AE39" i="1" s="1"/>
  <c r="AG39" i="1"/>
  <c r="AF39" i="1"/>
  <c r="AG65" i="1"/>
  <c r="AF65" i="1"/>
  <c r="AG51" i="1"/>
  <c r="AF51" i="1" s="1"/>
  <c r="AD24" i="1"/>
  <c r="AE24" i="1"/>
  <c r="AG52" i="1"/>
  <c r="AF52" i="1"/>
  <c r="AC52" i="1"/>
  <c r="AE52" i="1" s="1"/>
  <c r="AD52" i="1"/>
  <c r="AC30" i="1"/>
  <c r="P18" i="1"/>
  <c r="Q18" i="1" s="1"/>
  <c r="S18" i="1" s="1"/>
  <c r="O38" i="19"/>
  <c r="AC35" i="1"/>
  <c r="AG35" i="1"/>
  <c r="AF35" i="1"/>
  <c r="AC58" i="1"/>
  <c r="AG58" i="1"/>
  <c r="AF58" i="1"/>
  <c r="AC59" i="1"/>
  <c r="AD59" i="1"/>
  <c r="AG59" i="1"/>
  <c r="AF59" i="1"/>
  <c r="AG67" i="1"/>
  <c r="AF67" i="1"/>
  <c r="AC67" i="1"/>
  <c r="AE67" i="1" s="1"/>
  <c r="AC66" i="1"/>
  <c r="AC70" i="1"/>
  <c r="AD70" i="1"/>
  <c r="AG64" i="1"/>
  <c r="AF64" i="1" s="1"/>
  <c r="AG66" i="1"/>
  <c r="AF66" i="1"/>
  <c r="AD39" i="1"/>
  <c r="AG45" i="1"/>
  <c r="AF45" i="1" s="1"/>
  <c r="AG70" i="1"/>
  <c r="AF70" i="1" s="1"/>
  <c r="AG68" i="1"/>
  <c r="AF68" i="1" s="1"/>
  <c r="AE70" i="1"/>
  <c r="AD17" i="1"/>
  <c r="U23" i="19"/>
  <c r="AE59" i="1"/>
  <c r="O13" i="19"/>
  <c r="AA23" i="19"/>
  <c r="AM53" i="19"/>
  <c r="AG53" i="19"/>
  <c r="U53" i="19"/>
  <c r="U33" i="19"/>
  <c r="AG13" i="19"/>
  <c r="U13" i="19"/>
  <c r="O53" i="19"/>
  <c r="AA33" i="19"/>
  <c r="AG23" i="19"/>
  <c r="AG43" i="19"/>
  <c r="AM23" i="19"/>
  <c r="AG33" i="19"/>
  <c r="AE30" i="1"/>
  <c r="AD30" i="1"/>
  <c r="AE58" i="1"/>
  <c r="AD58" i="1"/>
  <c r="O33" i="19"/>
  <c r="AH59" i="1"/>
  <c r="U43" i="19"/>
  <c r="AA53" i="19"/>
  <c r="O23" i="19"/>
  <c r="AM13" i="19"/>
  <c r="AA43" i="19"/>
  <c r="AM33" i="19"/>
  <c r="AM43" i="19"/>
  <c r="O43" i="19"/>
  <c r="AA13" i="19"/>
  <c r="AC38" i="1"/>
  <c r="AE38" i="1"/>
  <c r="AD67" i="1"/>
  <c r="W15" i="19" s="1"/>
  <c r="AD35" i="1"/>
  <c r="AE35" i="1"/>
  <c r="P12" i="1"/>
  <c r="Q12" i="1" s="1"/>
  <c r="V22" i="18" s="1"/>
  <c r="AG38" i="1"/>
  <c r="AF38" i="1" s="1"/>
  <c r="AM19" i="19"/>
  <c r="O29" i="19"/>
  <c r="AA19" i="19"/>
  <c r="AM49" i="19"/>
  <c r="O9" i="19"/>
  <c r="U9" i="19"/>
  <c r="AH35" i="1"/>
  <c r="U49" i="19"/>
  <c r="O19" i="19"/>
  <c r="AA49" i="19"/>
  <c r="AA29" i="19"/>
  <c r="AG39" i="19"/>
  <c r="AG49" i="19"/>
  <c r="U39" i="19"/>
  <c r="AM39" i="19"/>
  <c r="AG19" i="19"/>
  <c r="O39" i="19"/>
  <c r="AA39" i="19"/>
  <c r="AA9" i="19"/>
  <c r="O49" i="19"/>
  <c r="AG29" i="19"/>
  <c r="U19" i="19"/>
  <c r="U29" i="19"/>
  <c r="AM29" i="19"/>
  <c r="AM9" i="19"/>
  <c r="AG9" i="19"/>
  <c r="W25" i="19"/>
  <c r="Q35" i="19"/>
  <c r="AC45" i="19"/>
  <c r="K35" i="19"/>
  <c r="K15" i="19"/>
  <c r="W45" i="19"/>
  <c r="AI35" i="19"/>
  <c r="AC25" i="19"/>
  <c r="T43" i="19"/>
  <c r="AF43" i="19"/>
  <c r="AL13" i="19"/>
  <c r="AL23" i="19"/>
  <c r="N23" i="19"/>
  <c r="AH58" i="1"/>
  <c r="Z33" i="19"/>
  <c r="Z53" i="19"/>
  <c r="Z13" i="19"/>
  <c r="Z23" i="19"/>
  <c r="N13" i="19"/>
  <c r="N53" i="19"/>
  <c r="T53" i="19"/>
  <c r="T23" i="19"/>
  <c r="AF13" i="19"/>
  <c r="N33" i="19"/>
  <c r="Z43" i="19"/>
  <c r="T33" i="19"/>
  <c r="AL33" i="19"/>
  <c r="AF53" i="19"/>
  <c r="AF23" i="19"/>
  <c r="AL53" i="19"/>
  <c r="T13" i="19"/>
  <c r="N43" i="19"/>
  <c r="AF33" i="19"/>
  <c r="AL43" i="19"/>
  <c r="AC16" i="1"/>
  <c r="AD16" i="1" s="1"/>
  <c r="S12" i="1"/>
  <c r="AJ38" i="18"/>
  <c r="R6" i="18"/>
  <c r="X14" i="18"/>
  <c r="AJ22" i="18"/>
  <c r="X6" i="18"/>
  <c r="R14" i="18"/>
  <c r="AJ6" i="18"/>
  <c r="R22" i="18"/>
  <c r="AD30" i="18"/>
  <c r="AD14" i="18"/>
  <c r="L22" i="18"/>
  <c r="X38" i="18"/>
  <c r="V26" i="18"/>
  <c r="AH34" i="18"/>
  <c r="V42" i="18"/>
  <c r="AB10" i="18"/>
  <c r="P34" i="18"/>
  <c r="J26" i="18"/>
  <c r="V18" i="18"/>
  <c r="AG16" i="1"/>
  <c r="AF16" i="1" s="1"/>
  <c r="AE51" i="1"/>
  <c r="AD51" i="1"/>
  <c r="S52" i="19" s="1"/>
  <c r="AF12" i="19"/>
  <c r="T42" i="19"/>
  <c r="T12" i="19"/>
  <c r="T22" i="19"/>
  <c r="N32" i="19"/>
  <c r="AL22" i="19"/>
  <c r="N22" i="19"/>
  <c r="T32" i="19"/>
  <c r="AL52" i="19"/>
  <c r="AF32" i="19"/>
  <c r="N42" i="19"/>
  <c r="AF42" i="19"/>
  <c r="N52" i="19"/>
  <c r="AF22" i="19"/>
  <c r="AL12" i="19"/>
  <c r="AF52" i="19"/>
  <c r="Z32" i="19"/>
  <c r="Z12" i="19"/>
  <c r="N12" i="19"/>
  <c r="Z22" i="19"/>
  <c r="Z42" i="19"/>
  <c r="AL32" i="19"/>
  <c r="AH52" i="1"/>
  <c r="T52" i="19"/>
  <c r="AL42" i="19"/>
  <c r="Z52" i="19"/>
  <c r="AD65" i="1"/>
  <c r="AH65" i="1" s="1"/>
  <c r="AD38" i="1"/>
  <c r="L40" i="19" s="1"/>
  <c r="AE30" i="19"/>
  <c r="S50" i="19"/>
  <c r="Y40" i="19"/>
  <c r="M20" i="19"/>
  <c r="AE20" i="19"/>
  <c r="AK50" i="19"/>
  <c r="S10" i="19"/>
  <c r="AK10" i="19"/>
  <c r="S30" i="19"/>
  <c r="AK40" i="19"/>
  <c r="AH39" i="1"/>
  <c r="M50" i="19"/>
  <c r="AK20" i="19"/>
  <c r="S40" i="19"/>
  <c r="Y10" i="19"/>
  <c r="Y30" i="19"/>
  <c r="AE50" i="19"/>
  <c r="Y50" i="19"/>
  <c r="AE40" i="19"/>
  <c r="M40" i="19"/>
  <c r="S20" i="19"/>
  <c r="M10" i="19"/>
  <c r="Y20" i="19"/>
  <c r="AK30" i="19"/>
  <c r="AE10" i="19"/>
  <c r="M30" i="19"/>
  <c r="R30" i="19"/>
  <c r="AD40" i="19"/>
  <c r="U46" i="19"/>
  <c r="AA6" i="19"/>
  <c r="AG46" i="19"/>
  <c r="U26" i="19"/>
  <c r="N36" i="19"/>
  <c r="T26" i="19"/>
  <c r="Z36" i="19"/>
  <c r="AM6" i="19"/>
  <c r="AA16" i="19"/>
  <c r="AG6" i="19"/>
  <c r="AH17" i="1"/>
  <c r="O6" i="19"/>
  <c r="AG16" i="19"/>
  <c r="U36" i="19"/>
  <c r="AA36" i="19"/>
  <c r="AA46" i="19"/>
  <c r="AG26" i="19"/>
  <c r="AM46" i="19"/>
  <c r="O16" i="19"/>
  <c r="O26" i="19"/>
  <c r="AM26" i="19"/>
  <c r="AM36" i="19"/>
  <c r="AG36" i="19"/>
  <c r="AE16" i="1"/>
  <c r="U16" i="19"/>
  <c r="AM16" i="19"/>
  <c r="O46" i="19"/>
  <c r="AA26" i="19"/>
  <c r="U6" i="19"/>
  <c r="O36" i="19"/>
  <c r="AK32" i="19"/>
  <c r="S32" i="19"/>
  <c r="M52" i="19"/>
  <c r="AK52" i="19"/>
  <c r="AE42" i="19"/>
  <c r="AE22" i="19"/>
  <c r="M12" i="19"/>
  <c r="Y12" i="19"/>
  <c r="S22" i="19"/>
  <c r="Y32" i="19"/>
  <c r="S12" i="19"/>
  <c r="AK12" i="19"/>
  <c r="N34" i="19"/>
  <c r="N44" i="19"/>
  <c r="T24" i="19"/>
  <c r="AL54" i="19"/>
  <c r="AF54" i="19"/>
  <c r="AF44" i="19"/>
  <c r="T54" i="19"/>
  <c r="Z14" i="19"/>
  <c r="Z54" i="19"/>
  <c r="N24" i="19"/>
  <c r="Z44" i="19"/>
  <c r="T14" i="19"/>
  <c r="N54" i="19"/>
  <c r="P53" i="1"/>
  <c r="P33" i="1"/>
  <c r="P37" i="1"/>
  <c r="P71" i="1"/>
  <c r="P32" i="1"/>
  <c r="P29" i="1"/>
  <c r="P20" i="1"/>
  <c r="P59" i="1"/>
  <c r="P47" i="1"/>
  <c r="P49" i="1"/>
  <c r="P68" i="1"/>
  <c r="P52" i="1"/>
  <c r="P64" i="1"/>
  <c r="P51" i="1"/>
  <c r="P38" i="1"/>
  <c r="P43" i="1"/>
  <c r="P50" i="1"/>
  <c r="P27" i="1"/>
  <c r="P46" i="1"/>
  <c r="P16" i="1"/>
  <c r="P28" i="1"/>
  <c r="P63" i="1"/>
  <c r="P65" i="1"/>
  <c r="P13" i="1"/>
  <c r="P70" i="1"/>
  <c r="P34" i="1"/>
  <c r="P15" i="1"/>
  <c r="P67" i="1"/>
  <c r="P40" i="1"/>
  <c r="P17" i="1"/>
  <c r="P31" i="1"/>
  <c r="P58" i="1"/>
  <c r="P61" i="1"/>
  <c r="P14" i="1"/>
  <c r="P39" i="1"/>
  <c r="P57" i="1"/>
  <c r="P22" i="1"/>
  <c r="P35" i="1"/>
  <c r="P21" i="1"/>
  <c r="P23" i="1"/>
  <c r="P26" i="1"/>
  <c r="P55" i="1"/>
  <c r="P41" i="1"/>
  <c r="P56" i="1"/>
  <c r="P19" i="1"/>
  <c r="P45" i="1"/>
  <c r="P44" i="1"/>
  <c r="P62" i="1"/>
  <c r="P69" i="1"/>
  <c r="P25" i="1"/>
  <c r="T16" i="19" l="1"/>
  <c r="Z26" i="19"/>
  <c r="N26" i="19"/>
  <c r="AF26" i="19"/>
  <c r="N6" i="19"/>
  <c r="AD30" i="19"/>
  <c r="R20" i="19"/>
  <c r="AJ10" i="19"/>
  <c r="AE60" i="1"/>
  <c r="AC61" i="1" s="1"/>
  <c r="AD60" i="1"/>
  <c r="AF34" i="19"/>
  <c r="AL44" i="19"/>
  <c r="N14" i="19"/>
  <c r="M32" i="19"/>
  <c r="AK22" i="19"/>
  <c r="S42" i="19"/>
  <c r="T46" i="19"/>
  <c r="AL6" i="19"/>
  <c r="AJ50" i="19"/>
  <c r="AJ30" i="19"/>
  <c r="X30" i="19"/>
  <c r="AE64" i="1"/>
  <c r="AA34" i="19"/>
  <c r="AF45" i="19"/>
  <c r="N15" i="19"/>
  <c r="AF25" i="19"/>
  <c r="AL15" i="19"/>
  <c r="AL25" i="19"/>
  <c r="N55" i="19"/>
  <c r="Z25" i="19"/>
  <c r="N45" i="19"/>
  <c r="Z15" i="19"/>
  <c r="T15" i="19"/>
  <c r="AL35" i="19"/>
  <c r="Z55" i="19"/>
  <c r="AF55" i="19"/>
  <c r="AH70" i="1"/>
  <c r="N35" i="19"/>
  <c r="Z35" i="19"/>
  <c r="AF15" i="19"/>
  <c r="AL45" i="19"/>
  <c r="N25" i="19"/>
  <c r="T55" i="19"/>
  <c r="T25" i="19"/>
  <c r="AF35" i="19"/>
  <c r="Z45" i="19"/>
  <c r="T35" i="19"/>
  <c r="T45" i="19"/>
  <c r="AL55" i="19"/>
  <c r="AL26" i="19"/>
  <c r="AA54" i="19"/>
  <c r="AG57" i="1"/>
  <c r="AF57" i="1" s="1"/>
  <c r="AG56" i="1"/>
  <c r="AF56" i="1" s="1"/>
  <c r="AC56" i="1"/>
  <c r="AC57" i="1"/>
  <c r="AF14" i="19"/>
  <c r="AF24" i="19"/>
  <c r="T34" i="19"/>
  <c r="M22" i="19"/>
  <c r="AE12" i="19"/>
  <c r="M42" i="19"/>
  <c r="T36" i="19"/>
  <c r="Z46" i="19"/>
  <c r="AL16" i="19"/>
  <c r="AD10" i="19"/>
  <c r="AJ20" i="19"/>
  <c r="U54" i="19"/>
  <c r="AM54" i="19"/>
  <c r="X40" i="19"/>
  <c r="AA24" i="19"/>
  <c r="O44" i="19"/>
  <c r="U34" i="19"/>
  <c r="AL24" i="19"/>
  <c r="Z34" i="19"/>
  <c r="T44" i="19"/>
  <c r="Z24" i="19"/>
  <c r="Y22" i="19"/>
  <c r="T6" i="19"/>
  <c r="AF16" i="19"/>
  <c r="AH16" i="1"/>
  <c r="R10" i="19"/>
  <c r="AM14" i="19"/>
  <c r="AF46" i="19"/>
  <c r="AD20" i="19"/>
  <c r="AF6" i="19"/>
  <c r="X10" i="19"/>
  <c r="Y52" i="19"/>
  <c r="AE52" i="19"/>
  <c r="Y42" i="19"/>
  <c r="P38" i="18"/>
  <c r="AB38" i="18"/>
  <c r="P6" i="18"/>
  <c r="AH14" i="18"/>
  <c r="AB30" i="18"/>
  <c r="AB14" i="18"/>
  <c r="J30" i="18"/>
  <c r="AH38" i="18"/>
  <c r="AH30" i="18"/>
  <c r="J22" i="18"/>
  <c r="P30" i="18"/>
  <c r="P14" i="18"/>
  <c r="V30" i="18"/>
  <c r="V14" i="18"/>
  <c r="AH6" i="18"/>
  <c r="AB22" i="18"/>
  <c r="P22" i="18"/>
  <c r="J14" i="18"/>
  <c r="AH22" i="18"/>
  <c r="R12" i="1"/>
  <c r="AG12" i="1" s="1"/>
  <c r="V6" i="18"/>
  <c r="V38" i="18"/>
  <c r="AB6" i="18"/>
  <c r="J6" i="18"/>
  <c r="J38" i="18"/>
  <c r="X20" i="19"/>
  <c r="L20" i="19"/>
  <c r="L10" i="19"/>
  <c r="L50" i="19"/>
  <c r="AJ40" i="19"/>
  <c r="R50" i="19"/>
  <c r="AG34" i="19"/>
  <c r="U24" i="19"/>
  <c r="O24" i="19"/>
  <c r="AM24" i="19"/>
  <c r="AM34" i="19"/>
  <c r="AG14" i="19"/>
  <c r="O14" i="19"/>
  <c r="U14" i="19"/>
  <c r="U44" i="19"/>
  <c r="AM44" i="19"/>
  <c r="AG24" i="19"/>
  <c r="AG54" i="19"/>
  <c r="Z6" i="19"/>
  <c r="AF36" i="19"/>
  <c r="AD50" i="19"/>
  <c r="O34" i="19"/>
  <c r="N46" i="19"/>
  <c r="N16" i="19"/>
  <c r="X50" i="19"/>
  <c r="O54" i="19"/>
  <c r="AA14" i="19"/>
  <c r="AL14" i="19"/>
  <c r="AH64" i="1"/>
  <c r="AA44" i="19"/>
  <c r="AK42" i="19"/>
  <c r="AH51" i="1"/>
  <c r="AE32" i="19"/>
  <c r="AL46" i="19"/>
  <c r="Z16" i="19"/>
  <c r="AL36" i="19"/>
  <c r="AH38" i="1"/>
  <c r="R40" i="19"/>
  <c r="L30" i="19"/>
  <c r="AG44" i="19"/>
  <c r="AB26" i="18"/>
  <c r="R48" i="1"/>
  <c r="P26" i="18"/>
  <c r="AB34" i="18"/>
  <c r="AH10" i="18"/>
  <c r="AB42" i="18"/>
  <c r="J42" i="18"/>
  <c r="V10" i="18"/>
  <c r="P42" i="18"/>
  <c r="S48" i="1"/>
  <c r="AH18" i="18"/>
  <c r="P10" i="18"/>
  <c r="J10" i="18"/>
  <c r="AH26" i="18"/>
  <c r="P18" i="18"/>
  <c r="AH42" i="18"/>
  <c r="J18" i="18"/>
  <c r="AB18" i="18"/>
  <c r="V34" i="18"/>
  <c r="R16" i="18"/>
  <c r="AD32" i="18"/>
  <c r="X32" i="18"/>
  <c r="R24" i="18"/>
  <c r="L8" i="18"/>
  <c r="X40" i="18"/>
  <c r="N36" i="1"/>
  <c r="AC36" i="1" s="1"/>
  <c r="L32" i="18"/>
  <c r="AD8" i="18"/>
  <c r="AD24" i="18"/>
  <c r="X16" i="18"/>
  <c r="AC41" i="1"/>
  <c r="AG40" i="1"/>
  <c r="AF40" i="1" s="1"/>
  <c r="AC40" i="1"/>
  <c r="L14" i="18"/>
  <c r="AD25" i="1"/>
  <c r="AE25" i="1"/>
  <c r="AC26" i="1" s="1"/>
  <c r="AD31" i="1"/>
  <c r="AE31" i="1"/>
  <c r="AC32" i="1" s="1"/>
  <c r="AD42" i="1"/>
  <c r="AE42" i="1"/>
  <c r="AC43" i="1" s="1"/>
  <c r="R18" i="1"/>
  <c r="L30" i="18"/>
  <c r="AD6" i="18"/>
  <c r="AJ14" i="18"/>
  <c r="L6" i="18"/>
  <c r="X22" i="18"/>
  <c r="L38" i="18"/>
  <c r="AD38" i="18"/>
  <c r="U28" i="19"/>
  <c r="O18" i="19"/>
  <c r="AH29" i="1"/>
  <c r="AM28" i="19"/>
  <c r="U8" i="19"/>
  <c r="AM38" i="19"/>
  <c r="O48" i="19"/>
  <c r="AG48" i="19"/>
  <c r="AG8" i="19"/>
  <c r="AM48" i="19"/>
  <c r="O28" i="19"/>
  <c r="AG18" i="19"/>
  <c r="AA8" i="19"/>
  <c r="AA28" i="19"/>
  <c r="O8" i="19"/>
  <c r="AA38" i="19"/>
  <c r="AG28" i="19"/>
  <c r="AM18" i="19"/>
  <c r="U38" i="19"/>
  <c r="AG38" i="19"/>
  <c r="AM8" i="19"/>
  <c r="AD22" i="18"/>
  <c r="X30" i="18"/>
  <c r="R38" i="18"/>
  <c r="AJ30" i="18"/>
  <c r="R30" i="18"/>
  <c r="AH67" i="1"/>
  <c r="Q55" i="19"/>
  <c r="P36" i="1"/>
  <c r="Q36" i="1" s="1"/>
  <c r="X24" i="18" s="1"/>
  <c r="AD66" i="1"/>
  <c r="AE66" i="1"/>
  <c r="AE45" i="1"/>
  <c r="AD45" i="1"/>
  <c r="AG53" i="1"/>
  <c r="AF53" i="1" s="1"/>
  <c r="AC53" i="1"/>
  <c r="AI25" i="19"/>
  <c r="Q15" i="19"/>
  <c r="AG48" i="1"/>
  <c r="AD71" i="1"/>
  <c r="AE71" i="1"/>
  <c r="AC28" i="1"/>
  <c r="AG28" i="1"/>
  <c r="AF28" i="1" s="1"/>
  <c r="AE54" i="1"/>
  <c r="AC55" i="1" s="1"/>
  <c r="AD54" i="1"/>
  <c r="AG18" i="1"/>
  <c r="AF18" i="1" s="1"/>
  <c r="AC18" i="1"/>
  <c r="AC15" i="19"/>
  <c r="AI15" i="19"/>
  <c r="Q25" i="19"/>
  <c r="AC68" i="1"/>
  <c r="AC69" i="1"/>
  <c r="AG69" i="1"/>
  <c r="AF69" i="1" s="1"/>
  <c r="AI55" i="19"/>
  <c r="AD48" i="1"/>
  <c r="AE48" i="1"/>
  <c r="AC49" i="1" s="1"/>
  <c r="AC12" i="1"/>
  <c r="W35" i="19"/>
  <c r="AI45" i="19"/>
  <c r="Q45" i="19"/>
  <c r="K45" i="19"/>
  <c r="K25" i="19"/>
  <c r="W55" i="19"/>
  <c r="AC35" i="19"/>
  <c r="AC55" i="19"/>
  <c r="K55" i="19"/>
  <c r="P60" i="1"/>
  <c r="Q60" i="1" s="1"/>
  <c r="P24" i="1"/>
  <c r="Q24" i="1" s="1"/>
  <c r="P54" i="1"/>
  <c r="Q54" i="1" s="1"/>
  <c r="P42" i="1"/>
  <c r="Q42" i="1" s="1"/>
  <c r="H210" i="13"/>
  <c r="P66" i="1"/>
  <c r="Q66" i="1" s="1"/>
  <c r="P30" i="1"/>
  <c r="Q30" i="1" s="1"/>
  <c r="AA18" i="19"/>
  <c r="AG46" i="1"/>
  <c r="AF46" i="1" s="1"/>
  <c r="AC46" i="1"/>
  <c r="AC47" i="1"/>
  <c r="AA48" i="19"/>
  <c r="U18" i="19"/>
  <c r="U48" i="19"/>
  <c r="R24" i="1" l="1"/>
  <c r="AG24" i="1" s="1"/>
  <c r="Z6" i="18"/>
  <c r="N6" i="18"/>
  <c r="N14" i="18"/>
  <c r="AF6" i="18"/>
  <c r="Z14" i="18"/>
  <c r="AL22" i="18"/>
  <c r="T22" i="18"/>
  <c r="AL38" i="18"/>
  <c r="AL14" i="18"/>
  <c r="Z22" i="18"/>
  <c r="AL30" i="18"/>
  <c r="Z30" i="18"/>
  <c r="S24" i="1"/>
  <c r="T6" i="18"/>
  <c r="N38" i="18"/>
  <c r="AF38" i="18"/>
  <c r="AL6" i="18"/>
  <c r="Z38" i="18"/>
  <c r="T14" i="18"/>
  <c r="T30" i="18"/>
  <c r="AF30" i="18"/>
  <c r="N22" i="18"/>
  <c r="T38" i="18"/>
  <c r="AF14" i="18"/>
  <c r="N30" i="18"/>
  <c r="AF22" i="18"/>
  <c r="AD28" i="1"/>
  <c r="AE28" i="1"/>
  <c r="AE53" i="1"/>
  <c r="AD53" i="1"/>
  <c r="AD57" i="1"/>
  <c r="AE57" i="1"/>
  <c r="AD46" i="1"/>
  <c r="AE46" i="1"/>
  <c r="AD69" i="1"/>
  <c r="AE69" i="1"/>
  <c r="AD56" i="1"/>
  <c r="AE56" i="1"/>
  <c r="AD26" i="1"/>
  <c r="AE26" i="1"/>
  <c r="AC27" i="1" s="1"/>
  <c r="S60" i="1"/>
  <c r="AL10" i="18"/>
  <c r="AL34" i="18"/>
  <c r="T26" i="18"/>
  <c r="Z42" i="18"/>
  <c r="N26" i="18"/>
  <c r="T34" i="18"/>
  <c r="N10" i="18"/>
  <c r="AF18" i="18"/>
  <c r="Z10" i="18"/>
  <c r="N42" i="18"/>
  <c r="AF34" i="18"/>
  <c r="N34" i="18"/>
  <c r="AF26" i="18"/>
  <c r="Z34" i="18"/>
  <c r="AF10" i="18"/>
  <c r="N18" i="18"/>
  <c r="R60" i="1"/>
  <c r="AG60" i="1" s="1"/>
  <c r="T42" i="18"/>
  <c r="T10" i="18"/>
  <c r="T18" i="18"/>
  <c r="AL26" i="18"/>
  <c r="Z26" i="18"/>
  <c r="AL18" i="18"/>
  <c r="Z18" i="18"/>
  <c r="AL42" i="18"/>
  <c r="AF42" i="18"/>
  <c r="S30" i="1"/>
  <c r="P24" i="18"/>
  <c r="V8" i="18"/>
  <c r="R30" i="1"/>
  <c r="AG30" i="1" s="1"/>
  <c r="P16" i="18"/>
  <c r="AH24" i="18"/>
  <c r="V16" i="18"/>
  <c r="AB24" i="18"/>
  <c r="J32" i="18"/>
  <c r="AB8" i="18"/>
  <c r="AH40" i="18"/>
  <c r="V32" i="18"/>
  <c r="J24" i="18"/>
  <c r="J8" i="18"/>
  <c r="AH32" i="18"/>
  <c r="AB40" i="18"/>
  <c r="V24" i="18"/>
  <c r="AB16" i="18"/>
  <c r="P8" i="18"/>
  <c r="P40" i="18"/>
  <c r="AH16" i="18"/>
  <c r="J40" i="18"/>
  <c r="V40" i="18"/>
  <c r="AB32" i="18"/>
  <c r="P32" i="18"/>
  <c r="J16" i="18"/>
  <c r="AH8" i="18"/>
  <c r="AG50" i="1"/>
  <c r="AF50" i="1" s="1"/>
  <c r="AF48" i="1"/>
  <c r="AG49" i="1"/>
  <c r="AF49" i="1" s="1"/>
  <c r="AE43" i="1"/>
  <c r="AC44" i="1" s="1"/>
  <c r="AD43" i="1"/>
  <c r="R8" i="18"/>
  <c r="AJ16" i="18"/>
  <c r="AE47" i="1"/>
  <c r="AD47" i="1"/>
  <c r="AA55" i="19"/>
  <c r="U15" i="19"/>
  <c r="AG25" i="19"/>
  <c r="AG15" i="19"/>
  <c r="O45" i="19"/>
  <c r="AA35" i="19"/>
  <c r="AG35" i="19"/>
  <c r="U35" i="19"/>
  <c r="AM35" i="19"/>
  <c r="O25" i="19"/>
  <c r="AA15" i="19"/>
  <c r="AM55" i="19"/>
  <c r="AM45" i="19"/>
  <c r="AA45" i="19"/>
  <c r="O35" i="19"/>
  <c r="U25" i="19"/>
  <c r="U55" i="19"/>
  <c r="AG45" i="19"/>
  <c r="AM25" i="19"/>
  <c r="O15" i="19"/>
  <c r="U45" i="19"/>
  <c r="AM15" i="19"/>
  <c r="AH71" i="1"/>
  <c r="AG55" i="19"/>
  <c r="O55" i="19"/>
  <c r="AA25" i="19"/>
  <c r="AH44" i="18"/>
  <c r="P36" i="18"/>
  <c r="V20" i="18"/>
  <c r="AH20" i="18"/>
  <c r="P20" i="18"/>
  <c r="V12" i="18"/>
  <c r="AB20" i="18"/>
  <c r="V28" i="18"/>
  <c r="R66" i="1"/>
  <c r="S66" i="1"/>
  <c r="J28" i="18"/>
  <c r="J12" i="18"/>
  <c r="P12" i="18"/>
  <c r="V36" i="18"/>
  <c r="AH12" i="18"/>
  <c r="AH28" i="18"/>
  <c r="V44" i="18"/>
  <c r="AH36" i="18"/>
  <c r="J44" i="18"/>
  <c r="P28" i="18"/>
  <c r="J36" i="18"/>
  <c r="AB36" i="18"/>
  <c r="AB28" i="18"/>
  <c r="P44" i="18"/>
  <c r="J20" i="18"/>
  <c r="AB12" i="18"/>
  <c r="AB44" i="18"/>
  <c r="AE49" i="1"/>
  <c r="AC50" i="1" s="1"/>
  <c r="AD49" i="1"/>
  <c r="AD55" i="1"/>
  <c r="AE55" i="1"/>
  <c r="AE40" i="1"/>
  <c r="AD40" i="1"/>
  <c r="AD40" i="18"/>
  <c r="L16" i="18"/>
  <c r="AJ40" i="18"/>
  <c r="AD68" i="1"/>
  <c r="AE68" i="1"/>
  <c r="AK11" i="19"/>
  <c r="Y51" i="19"/>
  <c r="AE11" i="19"/>
  <c r="M11" i="19"/>
  <c r="S51" i="19"/>
  <c r="Y11" i="19"/>
  <c r="M41" i="19"/>
  <c r="AH45" i="1"/>
  <c r="S11" i="19"/>
  <c r="Y41" i="19"/>
  <c r="M51" i="19"/>
  <c r="S21" i="19"/>
  <c r="AK41" i="19"/>
  <c r="S31" i="19"/>
  <c r="AE41" i="19"/>
  <c r="AK31" i="19"/>
  <c r="M31" i="19"/>
  <c r="AK21" i="19"/>
  <c r="AE31" i="19"/>
  <c r="S41" i="19"/>
  <c r="AE51" i="19"/>
  <c r="AK51" i="19"/>
  <c r="AE21" i="19"/>
  <c r="M21" i="19"/>
  <c r="Y31" i="19"/>
  <c r="Y21" i="19"/>
  <c r="AD12" i="1"/>
  <c r="AE12" i="1"/>
  <c r="AC13" i="1" s="1"/>
  <c r="V32" i="19"/>
  <c r="V22" i="19"/>
  <c r="AB52" i="19"/>
  <c r="AH32" i="19"/>
  <c r="J12" i="19"/>
  <c r="AH12" i="19"/>
  <c r="V52" i="19"/>
  <c r="AB32" i="19"/>
  <c r="V12" i="19"/>
  <c r="P52" i="19"/>
  <c r="P22" i="19"/>
  <c r="AB12" i="19"/>
  <c r="AH52" i="19"/>
  <c r="AH42" i="19"/>
  <c r="P12" i="19"/>
  <c r="J42" i="19"/>
  <c r="AH22" i="19"/>
  <c r="AH48" i="1"/>
  <c r="P42" i="19"/>
  <c r="P32" i="19"/>
  <c r="J32" i="19"/>
  <c r="V42" i="19"/>
  <c r="AB42" i="19"/>
  <c r="AB22" i="19"/>
  <c r="J22" i="19"/>
  <c r="J52" i="19"/>
  <c r="AD18" i="1"/>
  <c r="AE18" i="1"/>
  <c r="AC19" i="1" s="1"/>
  <c r="V25" i="19"/>
  <c r="AB45" i="19"/>
  <c r="AB15" i="19"/>
  <c r="AB25" i="19"/>
  <c r="P45" i="19"/>
  <c r="AH45" i="19"/>
  <c r="P35" i="19"/>
  <c r="AH66" i="1"/>
  <c r="AB35" i="19"/>
  <c r="P25" i="19"/>
  <c r="AB55" i="19"/>
  <c r="P55" i="19"/>
  <c r="V55" i="19"/>
  <c r="J35" i="19"/>
  <c r="AH55" i="19"/>
  <c r="J45" i="19"/>
  <c r="V15" i="19"/>
  <c r="V45" i="19"/>
  <c r="AH15" i="19"/>
  <c r="J55" i="19"/>
  <c r="J15" i="19"/>
  <c r="J25" i="19"/>
  <c r="P15" i="19"/>
  <c r="V35" i="19"/>
  <c r="AH25" i="19"/>
  <c r="AH35" i="19"/>
  <c r="AD32" i="1"/>
  <c r="AE32" i="1"/>
  <c r="AC33" i="1" s="1"/>
  <c r="AD36" i="1"/>
  <c r="AE36" i="1"/>
  <c r="AC37" i="1" s="1"/>
  <c r="S54" i="1"/>
  <c r="L10" i="18"/>
  <c r="AJ10" i="18"/>
  <c r="AD34" i="18"/>
  <c r="L26" i="18"/>
  <c r="L34" i="18"/>
  <c r="AD42" i="18"/>
  <c r="AJ18" i="18"/>
  <c r="X42" i="18"/>
  <c r="AJ42" i="18"/>
  <c r="AD10" i="18"/>
  <c r="X34" i="18"/>
  <c r="X18" i="18"/>
  <c r="R10" i="18"/>
  <c r="R54" i="1"/>
  <c r="AG54" i="1" s="1"/>
  <c r="L18" i="18"/>
  <c r="X26" i="18"/>
  <c r="X10" i="18"/>
  <c r="AD26" i="18"/>
  <c r="AJ26" i="18"/>
  <c r="L42" i="18"/>
  <c r="AD18" i="18"/>
  <c r="R42" i="18"/>
  <c r="R18" i="18"/>
  <c r="R26" i="18"/>
  <c r="R34" i="18"/>
  <c r="AJ34" i="18"/>
  <c r="AF12" i="1"/>
  <c r="AG13" i="1"/>
  <c r="R42" i="1"/>
  <c r="AG42" i="1" s="1"/>
  <c r="N16" i="18"/>
  <c r="Z40" i="18"/>
  <c r="AL40" i="18"/>
  <c r="N40" i="18"/>
  <c r="AF16" i="18"/>
  <c r="N32" i="18"/>
  <c r="Z24" i="18"/>
  <c r="AF40" i="18"/>
  <c r="AF32" i="18"/>
  <c r="AL8" i="18"/>
  <c r="T24" i="18"/>
  <c r="N24" i="18"/>
  <c r="AL32" i="18"/>
  <c r="Z32" i="18"/>
  <c r="T40" i="18"/>
  <c r="S42" i="1"/>
  <c r="Z8" i="18"/>
  <c r="T8" i="18"/>
  <c r="AL24" i="18"/>
  <c r="T32" i="18"/>
  <c r="AL16" i="18"/>
  <c r="Z16" i="18"/>
  <c r="AF24" i="18"/>
  <c r="AF8" i="18"/>
  <c r="N8" i="18"/>
  <c r="T16" i="18"/>
  <c r="AG19" i="1"/>
  <c r="R36" i="1"/>
  <c r="AG36" i="1" s="1"/>
  <c r="L40" i="18"/>
  <c r="X8" i="18"/>
  <c r="AJ24" i="18"/>
  <c r="AJ8" i="18"/>
  <c r="R32" i="18"/>
  <c r="AJ32" i="18"/>
  <c r="S36" i="1"/>
  <c r="R40" i="18"/>
  <c r="AE41" i="1"/>
  <c r="AD41" i="1"/>
  <c r="AD16" i="18"/>
  <c r="L24" i="18"/>
  <c r="AE61" i="1"/>
  <c r="AC62" i="1" s="1"/>
  <c r="AD61" i="1"/>
  <c r="AG37" i="1" l="1"/>
  <c r="AF37" i="1" s="1"/>
  <c r="AF36" i="1"/>
  <c r="AD62" i="1"/>
  <c r="AE62" i="1"/>
  <c r="AC63" i="1" s="1"/>
  <c r="AD44" i="1"/>
  <c r="AE44" i="1"/>
  <c r="AE35" i="19"/>
  <c r="AK45" i="19"/>
  <c r="M15" i="19"/>
  <c r="S55" i="19"/>
  <c r="M55" i="19"/>
  <c r="AK35" i="19"/>
  <c r="S45" i="19"/>
  <c r="S15" i="19"/>
  <c r="Y45" i="19"/>
  <c r="Y55" i="19"/>
  <c r="Y25" i="19"/>
  <c r="AE45" i="19"/>
  <c r="AH69" i="1"/>
  <c r="AE55" i="19"/>
  <c r="AE25" i="19"/>
  <c r="M35" i="19"/>
  <c r="Y35" i="19"/>
  <c r="Y15" i="19"/>
  <c r="M25" i="19"/>
  <c r="AE15" i="19"/>
  <c r="AK25" i="19"/>
  <c r="M45" i="19"/>
  <c r="S35" i="19"/>
  <c r="S25" i="19"/>
  <c r="AK55" i="19"/>
  <c r="AK15" i="19"/>
  <c r="AH43" i="1"/>
  <c r="AC21" i="19"/>
  <c r="Q41" i="19"/>
  <c r="Q31" i="19"/>
  <c r="Q21" i="19"/>
  <c r="AI31" i="19"/>
  <c r="K31" i="19"/>
  <c r="AC11" i="19"/>
  <c r="W51" i="19"/>
  <c r="AF19" i="1"/>
  <c r="AG20" i="1"/>
  <c r="AA42" i="19"/>
  <c r="AG12" i="19"/>
  <c r="AG22" i="19"/>
  <c r="AM12" i="19"/>
  <c r="AA12" i="19"/>
  <c r="O32" i="19"/>
  <c r="U32" i="19"/>
  <c r="O12" i="19"/>
  <c r="AM32" i="19"/>
  <c r="AA52" i="19"/>
  <c r="AM22" i="19"/>
  <c r="U12" i="19"/>
  <c r="U22" i="19"/>
  <c r="AH53" i="1"/>
  <c r="AG52" i="19"/>
  <c r="U42" i="19"/>
  <c r="AG32" i="19"/>
  <c r="AM52" i="19"/>
  <c r="AG42" i="19"/>
  <c r="O22" i="19"/>
  <c r="O52" i="19"/>
  <c r="AM42" i="19"/>
  <c r="O42" i="19"/>
  <c r="AA22" i="19"/>
  <c r="U52" i="19"/>
  <c r="AA32" i="19"/>
  <c r="AE19" i="1"/>
  <c r="AC20" i="1" s="1"/>
  <c r="AD19" i="1"/>
  <c r="AG55" i="1"/>
  <c r="AF55" i="1" s="1"/>
  <c r="AF54" i="1"/>
  <c r="AB17" i="19"/>
  <c r="V27" i="19"/>
  <c r="AH7" i="19"/>
  <c r="AB27" i="19"/>
  <c r="AH17" i="19"/>
  <c r="AH47" i="19"/>
  <c r="AH37" i="19"/>
  <c r="P47" i="19"/>
  <c r="J7" i="19"/>
  <c r="AH27" i="19"/>
  <c r="V7" i="19"/>
  <c r="P37" i="19"/>
  <c r="J47" i="19"/>
  <c r="V37" i="19"/>
  <c r="P17" i="19"/>
  <c r="J27" i="19"/>
  <c r="P27" i="19"/>
  <c r="V17" i="19"/>
  <c r="J37" i="19"/>
  <c r="AB47" i="19"/>
  <c r="AB7" i="19"/>
  <c r="V47" i="19"/>
  <c r="AH18" i="1"/>
  <c r="J17" i="19"/>
  <c r="P7" i="19"/>
  <c r="AB37" i="19"/>
  <c r="R55" i="19"/>
  <c r="AH68" i="1"/>
  <c r="L15" i="19"/>
  <c r="AD25" i="19"/>
  <c r="AD15" i="19"/>
  <c r="AJ55" i="19"/>
  <c r="AD55" i="19"/>
  <c r="L55" i="19"/>
  <c r="X25" i="19"/>
  <c r="L45" i="19"/>
  <c r="X15" i="19"/>
  <c r="AJ25" i="19"/>
  <c r="AJ15" i="19"/>
  <c r="AD35" i="19"/>
  <c r="L25" i="19"/>
  <c r="AJ35" i="19"/>
  <c r="R45" i="19"/>
  <c r="AJ45" i="19"/>
  <c r="X55" i="19"/>
  <c r="X45" i="19"/>
  <c r="X35" i="19"/>
  <c r="R25" i="19"/>
  <c r="L35" i="19"/>
  <c r="R35" i="19"/>
  <c r="AD45" i="19"/>
  <c r="R15" i="19"/>
  <c r="AF60" i="1"/>
  <c r="AG61" i="1"/>
  <c r="AF42" i="1"/>
  <c r="AG44" i="1"/>
  <c r="AF44" i="1" s="1"/>
  <c r="AG43" i="1"/>
  <c r="AF43" i="1" s="1"/>
  <c r="W21" i="19" s="1"/>
  <c r="O41" i="19"/>
  <c r="U41" i="19"/>
  <c r="O31" i="19"/>
  <c r="AH47" i="1"/>
  <c r="U51" i="19"/>
  <c r="AG41" i="19"/>
  <c r="AA51" i="19"/>
  <c r="AA41" i="19"/>
  <c r="AA11" i="19"/>
  <c r="AG21" i="19"/>
  <c r="AM51" i="19"/>
  <c r="AM11" i="19"/>
  <c r="O21" i="19"/>
  <c r="AG11" i="19"/>
  <c r="AM41" i="19"/>
  <c r="O11" i="19"/>
  <c r="AG51" i="19"/>
  <c r="U31" i="19"/>
  <c r="AA21" i="19"/>
  <c r="AM31" i="19"/>
  <c r="U21" i="19"/>
  <c r="AA31" i="19"/>
  <c r="AM21" i="19"/>
  <c r="O51" i="19"/>
  <c r="AG31" i="19"/>
  <c r="U11" i="19"/>
  <c r="AD27" i="1"/>
  <c r="AE27" i="1"/>
  <c r="AJ43" i="19"/>
  <c r="L43" i="19"/>
  <c r="AD13" i="19"/>
  <c r="X23" i="19"/>
  <c r="AD43" i="19"/>
  <c r="R43" i="19"/>
  <c r="AH56" i="1"/>
  <c r="AJ33" i="19"/>
  <c r="R33" i="19"/>
  <c r="R13" i="19"/>
  <c r="AJ53" i="19"/>
  <c r="R23" i="19"/>
  <c r="X43" i="19"/>
  <c r="L23" i="19"/>
  <c r="L13" i="19"/>
  <c r="X33" i="19"/>
  <c r="AD33" i="19"/>
  <c r="R53" i="19"/>
  <c r="X13" i="19"/>
  <c r="AD23" i="19"/>
  <c r="X53" i="19"/>
  <c r="L53" i="19"/>
  <c r="AJ23" i="19"/>
  <c r="AJ13" i="19"/>
  <c r="AD53" i="19"/>
  <c r="L33" i="19"/>
  <c r="AA10" i="19"/>
  <c r="AM40" i="19"/>
  <c r="AG30" i="19"/>
  <c r="U10" i="19"/>
  <c r="AM10" i="19"/>
  <c r="AG50" i="19"/>
  <c r="U30" i="19"/>
  <c r="AG20" i="19"/>
  <c r="AG40" i="19"/>
  <c r="U50" i="19"/>
  <c r="O30" i="19"/>
  <c r="AH41" i="1"/>
  <c r="AA20" i="19"/>
  <c r="O20" i="19"/>
  <c r="AM30" i="19"/>
  <c r="AG10" i="19"/>
  <c r="O40" i="19"/>
  <c r="AM20" i="19"/>
  <c r="AA50" i="19"/>
  <c r="AM50" i="19"/>
  <c r="AA30" i="19"/>
  <c r="U40" i="19"/>
  <c r="U20" i="19"/>
  <c r="O10" i="19"/>
  <c r="O50" i="19"/>
  <c r="AA40" i="19"/>
  <c r="Q23" i="19"/>
  <c r="Q53" i="19"/>
  <c r="AI33" i="19"/>
  <c r="AI43" i="19"/>
  <c r="AI23" i="19"/>
  <c r="AC43" i="19"/>
  <c r="W43" i="19"/>
  <c r="K43" i="19"/>
  <c r="AI53" i="19"/>
  <c r="AH55" i="1"/>
  <c r="AC13" i="19"/>
  <c r="Q43" i="19"/>
  <c r="K13" i="19"/>
  <c r="W23" i="19"/>
  <c r="Q33" i="19"/>
  <c r="W33" i="19"/>
  <c r="W13" i="19"/>
  <c r="W53" i="19"/>
  <c r="K23" i="19"/>
  <c r="AI13" i="19"/>
  <c r="K33" i="19"/>
  <c r="K53" i="19"/>
  <c r="AC53" i="19"/>
  <c r="AC23" i="19"/>
  <c r="AC33" i="19"/>
  <c r="Q13" i="19"/>
  <c r="AH46" i="1"/>
  <c r="AF11" i="19"/>
  <c r="N21" i="19"/>
  <c r="N51" i="19"/>
  <c r="Z51" i="19"/>
  <c r="AF41" i="19"/>
  <c r="T31" i="19"/>
  <c r="Z11" i="19"/>
  <c r="AF31" i="19"/>
  <c r="T51" i="19"/>
  <c r="AL11" i="19"/>
  <c r="Z31" i="19"/>
  <c r="AL51" i="19"/>
  <c r="AL31" i="19"/>
  <c r="T21" i="19"/>
  <c r="Z21" i="19"/>
  <c r="N41" i="19"/>
  <c r="N31" i="19"/>
  <c r="AF51" i="19"/>
  <c r="T41" i="19"/>
  <c r="N11" i="19"/>
  <c r="AL21" i="19"/>
  <c r="AF21" i="19"/>
  <c r="Z41" i="19"/>
  <c r="AL41" i="19"/>
  <c r="T11" i="19"/>
  <c r="AF13" i="1"/>
  <c r="AG14" i="1"/>
  <c r="W42" i="19"/>
  <c r="AC42" i="19"/>
  <c r="W22" i="19"/>
  <c r="AC22" i="19"/>
  <c r="K22" i="19"/>
  <c r="AC32" i="19"/>
  <c r="AH49" i="1"/>
  <c r="AC12" i="19"/>
  <c r="K32" i="19"/>
  <c r="AI12" i="19"/>
  <c r="Q42" i="19"/>
  <c r="AI52" i="19"/>
  <c r="AI32" i="19"/>
  <c r="AC52" i="19"/>
  <c r="K12" i="19"/>
  <c r="W52" i="19"/>
  <c r="W12" i="19"/>
  <c r="K42" i="19"/>
  <c r="Q32" i="19"/>
  <c r="W32" i="19"/>
  <c r="Q12" i="19"/>
  <c r="AI42" i="19"/>
  <c r="Q52" i="19"/>
  <c r="AI22" i="19"/>
  <c r="K52" i="19"/>
  <c r="Q22" i="19"/>
  <c r="AD33" i="1"/>
  <c r="AE33" i="1"/>
  <c r="AC34" i="1" s="1"/>
  <c r="AE13" i="1"/>
  <c r="AC14" i="1" s="1"/>
  <c r="AD13" i="1"/>
  <c r="AD50" i="1"/>
  <c r="AE50" i="1"/>
  <c r="AG31" i="1"/>
  <c r="AF30" i="1"/>
  <c r="AK23" i="19"/>
  <c r="AE23" i="19"/>
  <c r="Y33" i="19"/>
  <c r="Y53" i="19"/>
  <c r="M13" i="19"/>
  <c r="M23" i="19"/>
  <c r="AE13" i="19"/>
  <c r="AK33" i="19"/>
  <c r="AE53" i="19"/>
  <c r="Y43" i="19"/>
  <c r="AK53" i="19"/>
  <c r="Y13" i="19"/>
  <c r="Y23" i="19"/>
  <c r="AE33" i="19"/>
  <c r="S43" i="19"/>
  <c r="S33" i="19"/>
  <c r="M33" i="19"/>
  <c r="AE43" i="19"/>
  <c r="AH57" i="1"/>
  <c r="S23" i="19"/>
  <c r="S13" i="19"/>
  <c r="S53" i="19"/>
  <c r="AK43" i="19"/>
  <c r="M43" i="19"/>
  <c r="AK13" i="19"/>
  <c r="M53" i="19"/>
  <c r="AE37" i="1"/>
  <c r="AD37" i="1"/>
  <c r="AH28" i="1"/>
  <c r="N38" i="19"/>
  <c r="Z18" i="19"/>
  <c r="AL28" i="19"/>
  <c r="AL18" i="19"/>
  <c r="AL38" i="19"/>
  <c r="T8" i="19"/>
  <c r="N18" i="19"/>
  <c r="AF8" i="19"/>
  <c r="N48" i="19"/>
  <c r="AL48" i="19"/>
  <c r="AF48" i="19"/>
  <c r="T38" i="19"/>
  <c r="T28" i="19"/>
  <c r="T18" i="19"/>
  <c r="T48" i="19"/>
  <c r="AF38" i="19"/>
  <c r="Z48" i="19"/>
  <c r="AF18" i="19"/>
  <c r="Z38" i="19"/>
  <c r="N28" i="19"/>
  <c r="AF28" i="19"/>
  <c r="AL8" i="19"/>
  <c r="N8" i="19"/>
  <c r="Z8" i="19"/>
  <c r="Z28" i="19"/>
  <c r="AH20" i="19"/>
  <c r="V50" i="19"/>
  <c r="AB10" i="19"/>
  <c r="AB20" i="19"/>
  <c r="P10" i="19"/>
  <c r="AH40" i="19"/>
  <c r="P20" i="19"/>
  <c r="V40" i="19"/>
  <c r="AH30" i="19"/>
  <c r="P40" i="19"/>
  <c r="AB30" i="19"/>
  <c r="J20" i="19"/>
  <c r="P50" i="19"/>
  <c r="J10" i="19"/>
  <c r="P30" i="19"/>
  <c r="AB40" i="19"/>
  <c r="AH50" i="19"/>
  <c r="J40" i="19"/>
  <c r="J30" i="19"/>
  <c r="J50" i="19"/>
  <c r="AB50" i="19"/>
  <c r="V30" i="19"/>
  <c r="AH36" i="1"/>
  <c r="V20" i="19"/>
  <c r="AH10" i="19"/>
  <c r="V10" i="19"/>
  <c r="V26" i="19"/>
  <c r="AH26" i="19"/>
  <c r="AB16" i="19"/>
  <c r="AH6" i="19"/>
  <c r="J6" i="19"/>
  <c r="AB6" i="19"/>
  <c r="AH46" i="19"/>
  <c r="AB26" i="19"/>
  <c r="J26" i="19"/>
  <c r="AH36" i="19"/>
  <c r="AH12" i="1"/>
  <c r="V16" i="19"/>
  <c r="P46" i="19"/>
  <c r="P36" i="19"/>
  <c r="AH16" i="19"/>
  <c r="V6" i="19"/>
  <c r="V46" i="19"/>
  <c r="AB46" i="19"/>
  <c r="AB36" i="19"/>
  <c r="J46" i="19"/>
  <c r="V36" i="19"/>
  <c r="J16" i="19"/>
  <c r="P6" i="19"/>
  <c r="P26" i="19"/>
  <c r="P16" i="19"/>
  <c r="J36" i="19"/>
  <c r="AF20" i="19"/>
  <c r="AF40" i="19"/>
  <c r="Z10" i="19"/>
  <c r="AL30" i="19"/>
  <c r="T30" i="19"/>
  <c r="AH40" i="1"/>
  <c r="T50" i="19"/>
  <c r="AL20" i="19"/>
  <c r="AL50" i="19"/>
  <c r="N10" i="19"/>
  <c r="AF50" i="19"/>
  <c r="T10" i="19"/>
  <c r="T20" i="19"/>
  <c r="AF30" i="19"/>
  <c r="N30" i="19"/>
  <c r="Z50" i="19"/>
  <c r="Z40" i="19"/>
  <c r="T40" i="19"/>
  <c r="AL40" i="19"/>
  <c r="AL10" i="19"/>
  <c r="Z20" i="19"/>
  <c r="Z30" i="19"/>
  <c r="AF10" i="19"/>
  <c r="N20" i="19"/>
  <c r="N40" i="19"/>
  <c r="N50" i="19"/>
  <c r="AG25" i="1"/>
  <c r="AF24" i="1"/>
  <c r="AG62" i="1" l="1"/>
  <c r="AF61" i="1"/>
  <c r="AH30" i="1"/>
  <c r="P29" i="19"/>
  <c r="J9" i="19"/>
  <c r="P39" i="19"/>
  <c r="V19" i="19"/>
  <c r="AH9" i="19"/>
  <c r="AH49" i="19"/>
  <c r="V9" i="19"/>
  <c r="AB9" i="19"/>
  <c r="P19" i="19"/>
  <c r="J19" i="19"/>
  <c r="P49" i="19"/>
  <c r="AH19" i="19"/>
  <c r="V39" i="19"/>
  <c r="AB49" i="19"/>
  <c r="AB29" i="19"/>
  <c r="J29" i="19"/>
  <c r="V49" i="19"/>
  <c r="J39" i="19"/>
  <c r="V29" i="19"/>
  <c r="AB39" i="19"/>
  <c r="AH39" i="19"/>
  <c r="AB19" i="19"/>
  <c r="P9" i="19"/>
  <c r="J49" i="19"/>
  <c r="AH29" i="19"/>
  <c r="AC51" i="19"/>
  <c r="AI41" i="19"/>
  <c r="AI51" i="19"/>
  <c r="AD11" i="19"/>
  <c r="R11" i="19"/>
  <c r="X51" i="19"/>
  <c r="X21" i="19"/>
  <c r="R51" i="19"/>
  <c r="X11" i="19"/>
  <c r="AD21" i="19"/>
  <c r="R21" i="19"/>
  <c r="R31" i="19"/>
  <c r="L21" i="19"/>
  <c r="AJ41" i="19"/>
  <c r="AJ31" i="19"/>
  <c r="AH44" i="1"/>
  <c r="L31" i="19"/>
  <c r="X31" i="19"/>
  <c r="X41" i="19"/>
  <c r="AD41" i="19"/>
  <c r="AJ21" i="19"/>
  <c r="AD51" i="19"/>
  <c r="AJ11" i="19"/>
  <c r="AD31" i="19"/>
  <c r="AJ51" i="19"/>
  <c r="L51" i="19"/>
  <c r="L11" i="19"/>
  <c r="R41" i="19"/>
  <c r="L41" i="19"/>
  <c r="AE34" i="1"/>
  <c r="AD34" i="1"/>
  <c r="M18" i="19"/>
  <c r="AK38" i="19"/>
  <c r="M48" i="19"/>
  <c r="AF31" i="1"/>
  <c r="AG32" i="1"/>
  <c r="AF20" i="1"/>
  <c r="AG21" i="1"/>
  <c r="W41" i="19"/>
  <c r="W31" i="19"/>
  <c r="K41" i="19"/>
  <c r="AD63" i="1"/>
  <c r="AE63" i="1"/>
  <c r="Q50" i="19"/>
  <c r="AI40" i="19"/>
  <c r="AI30" i="19"/>
  <c r="Q40" i="19"/>
  <c r="AI10" i="19"/>
  <c r="AC40" i="19"/>
  <c r="K50" i="19"/>
  <c r="W30" i="19"/>
  <c r="K20" i="19"/>
  <c r="AC10" i="19"/>
  <c r="Q30" i="19"/>
  <c r="K10" i="19"/>
  <c r="AC30" i="19"/>
  <c r="AI50" i="19"/>
  <c r="W40" i="19"/>
  <c r="AC50" i="19"/>
  <c r="Q10" i="19"/>
  <c r="AC20" i="19"/>
  <c r="AH37" i="1"/>
  <c r="K30" i="19"/>
  <c r="W50" i="19"/>
  <c r="AI20" i="19"/>
  <c r="K40" i="19"/>
  <c r="W10" i="19"/>
  <c r="Q20" i="19"/>
  <c r="W20" i="19"/>
  <c r="K51" i="19"/>
  <c r="Q11" i="19"/>
  <c r="AC41" i="19"/>
  <c r="AD14" i="1"/>
  <c r="AE14" i="1"/>
  <c r="AC15" i="1" s="1"/>
  <c r="AD20" i="1"/>
  <c r="AE20" i="1"/>
  <c r="AC21" i="1" s="1"/>
  <c r="AF14" i="1"/>
  <c r="AG15" i="1"/>
  <c r="AF15" i="1" s="1"/>
  <c r="AD32" i="19"/>
  <c r="X22" i="19"/>
  <c r="L32" i="19"/>
  <c r="AD42" i="19"/>
  <c r="AJ32" i="19"/>
  <c r="AJ22" i="19"/>
  <c r="X52" i="19"/>
  <c r="L52" i="19"/>
  <c r="AD12" i="19"/>
  <c r="AD52" i="19"/>
  <c r="AD22" i="19"/>
  <c r="R22" i="19"/>
  <c r="AJ52" i="19"/>
  <c r="X32" i="19"/>
  <c r="AJ12" i="19"/>
  <c r="L12" i="19"/>
  <c r="R12" i="19"/>
  <c r="X12" i="19"/>
  <c r="R52" i="19"/>
  <c r="R42" i="19"/>
  <c r="AH50" i="1"/>
  <c r="AJ42" i="19"/>
  <c r="R32" i="19"/>
  <c r="X42" i="19"/>
  <c r="L42" i="19"/>
  <c r="L22" i="19"/>
  <c r="AH23" i="19"/>
  <c r="AB23" i="19"/>
  <c r="V23" i="19"/>
  <c r="AB33" i="19"/>
  <c r="P13" i="19"/>
  <c r="J23" i="19"/>
  <c r="J33" i="19"/>
  <c r="AH54" i="1"/>
  <c r="V43" i="19"/>
  <c r="AB53" i="19"/>
  <c r="V33" i="19"/>
  <c r="J13" i="19"/>
  <c r="AH53" i="19"/>
  <c r="P43" i="19"/>
  <c r="AH13" i="19"/>
  <c r="AH33" i="19"/>
  <c r="AB13" i="19"/>
  <c r="J53" i="19"/>
  <c r="AH43" i="19"/>
  <c r="V53" i="19"/>
  <c r="AB43" i="19"/>
  <c r="P33" i="19"/>
  <c r="V13" i="19"/>
  <c r="J43" i="19"/>
  <c r="P23" i="19"/>
  <c r="P53" i="19"/>
  <c r="AI11" i="19"/>
  <c r="Q51" i="19"/>
  <c r="AI21" i="19"/>
  <c r="K11" i="19"/>
  <c r="AI47" i="19"/>
  <c r="W7" i="19"/>
  <c r="AI27" i="19"/>
  <c r="AC37" i="19"/>
  <c r="W47" i="19"/>
  <c r="K37" i="19"/>
  <c r="AC27" i="19"/>
  <c r="AC17" i="19"/>
  <c r="Q37" i="19"/>
  <c r="W37" i="19"/>
  <c r="AI17" i="19"/>
  <c r="Q47" i="19"/>
  <c r="K17" i="19"/>
  <c r="Q17" i="19"/>
  <c r="AC47" i="19"/>
  <c r="Q27" i="19"/>
  <c r="AI37" i="19"/>
  <c r="W17" i="19"/>
  <c r="K47" i="19"/>
  <c r="K7" i="19"/>
  <c r="Q7" i="19"/>
  <c r="AH19" i="1"/>
  <c r="W27" i="19"/>
  <c r="K27" i="19"/>
  <c r="AC7" i="19"/>
  <c r="AI7" i="19"/>
  <c r="AB38" i="19"/>
  <c r="AH48" i="19"/>
  <c r="J28" i="19"/>
  <c r="V18" i="19"/>
  <c r="J18" i="19"/>
  <c r="AB48" i="19"/>
  <c r="J38" i="19"/>
  <c r="P18" i="19"/>
  <c r="V48" i="19"/>
  <c r="P38" i="19"/>
  <c r="AB18" i="19"/>
  <c r="AH28" i="19"/>
  <c r="AB28" i="19"/>
  <c r="AH38" i="19"/>
  <c r="J8" i="19"/>
  <c r="V8" i="19"/>
  <c r="V38" i="19"/>
  <c r="P48" i="19"/>
  <c r="J48" i="19"/>
  <c r="P28" i="19"/>
  <c r="V28" i="19"/>
  <c r="AB8" i="19"/>
  <c r="AH24" i="1"/>
  <c r="AH18" i="19"/>
  <c r="AH8" i="19"/>
  <c r="P8" i="19"/>
  <c r="V14" i="19"/>
  <c r="AB14" i="19"/>
  <c r="J54" i="19"/>
  <c r="J44" i="19"/>
  <c r="AH24" i="19"/>
  <c r="V24" i="19"/>
  <c r="AH60" i="1"/>
  <c r="AB44" i="19"/>
  <c r="J34" i="19"/>
  <c r="V44" i="19"/>
  <c r="J24" i="19"/>
  <c r="P24" i="19"/>
  <c r="V54" i="19"/>
  <c r="AH14" i="19"/>
  <c r="P54" i="19"/>
  <c r="P14" i="19"/>
  <c r="P34" i="19"/>
  <c r="AH44" i="19"/>
  <c r="V34" i="19"/>
  <c r="J14" i="19"/>
  <c r="AB34" i="19"/>
  <c r="AB24" i="19"/>
  <c r="P44" i="19"/>
  <c r="AB54" i="19"/>
  <c r="AH34" i="19"/>
  <c r="AH54" i="19"/>
  <c r="AF25" i="1"/>
  <c r="AG27" i="1"/>
  <c r="AF27" i="1" s="1"/>
  <c r="M38" i="19" s="1"/>
  <c r="AG26" i="1"/>
  <c r="AF26" i="1" s="1"/>
  <c r="AC16" i="19"/>
  <c r="W36" i="19"/>
  <c r="K46" i="19"/>
  <c r="AI46" i="19"/>
  <c r="AI36" i="19"/>
  <c r="K16" i="19"/>
  <c r="AC46" i="19"/>
  <c r="K26" i="19"/>
  <c r="Q46" i="19"/>
  <c r="Q16" i="19"/>
  <c r="W6" i="19"/>
  <c r="W26" i="19"/>
  <c r="AI26" i="19"/>
  <c r="K36" i="19"/>
  <c r="Q6" i="19"/>
  <c r="K6" i="19"/>
  <c r="AI6" i="19"/>
  <c r="AI16" i="19"/>
  <c r="W46" i="19"/>
  <c r="AH13" i="1"/>
  <c r="AC36" i="19"/>
  <c r="Q36" i="19"/>
  <c r="AC6" i="19"/>
  <c r="Q26" i="19"/>
  <c r="AC26" i="19"/>
  <c r="W16" i="19"/>
  <c r="AH11" i="19"/>
  <c r="V41" i="19"/>
  <c r="P41" i="19"/>
  <c r="J31" i="19"/>
  <c r="AH51" i="19"/>
  <c r="J41" i="19"/>
  <c r="V11" i="19"/>
  <c r="P31" i="19"/>
  <c r="V31" i="19"/>
  <c r="AB51" i="19"/>
  <c r="J21" i="19"/>
  <c r="P51" i="19"/>
  <c r="P11" i="19"/>
  <c r="AH21" i="19"/>
  <c r="AH41" i="19"/>
  <c r="P21" i="19"/>
  <c r="AB21" i="19"/>
  <c r="J11" i="19"/>
  <c r="AB11" i="19"/>
  <c r="AB31" i="19"/>
  <c r="AH31" i="19"/>
  <c r="AB41" i="19"/>
  <c r="J51" i="19"/>
  <c r="V51" i="19"/>
  <c r="AH42" i="1"/>
  <c r="V21" i="19"/>
  <c r="K21" i="19"/>
  <c r="AC31" i="19"/>
  <c r="W11" i="19"/>
  <c r="AE15" i="1" l="1"/>
  <c r="AD15" i="1"/>
  <c r="AF32" i="1"/>
  <c r="AG33" i="1"/>
  <c r="AE48" i="19"/>
  <c r="Y8" i="19"/>
  <c r="S28" i="19"/>
  <c r="AH26" i="1"/>
  <c r="X8" i="19"/>
  <c r="AJ18" i="19"/>
  <c r="AD18" i="19"/>
  <c r="R18" i="19"/>
  <c r="X18" i="19"/>
  <c r="AJ28" i="19"/>
  <c r="AD8" i="19"/>
  <c r="X38" i="19"/>
  <c r="L38" i="19"/>
  <c r="AJ48" i="19"/>
  <c r="R28" i="19"/>
  <c r="L28" i="19"/>
  <c r="X48" i="19"/>
  <c r="AD48" i="19"/>
  <c r="R38" i="19"/>
  <c r="L18" i="19"/>
  <c r="AJ8" i="19"/>
  <c r="L8" i="19"/>
  <c r="AJ38" i="19"/>
  <c r="X28" i="19"/>
  <c r="AD38" i="19"/>
  <c r="L48" i="19"/>
  <c r="R8" i="19"/>
  <c r="R48" i="19"/>
  <c r="AD28" i="19"/>
  <c r="AJ16" i="19"/>
  <c r="AD16" i="19"/>
  <c r="L36" i="19"/>
  <c r="X6" i="19"/>
  <c r="X16" i="19"/>
  <c r="AJ6" i="19"/>
  <c r="R16" i="19"/>
  <c r="L26" i="19"/>
  <c r="AD26" i="19"/>
  <c r="AD6" i="19"/>
  <c r="AD36" i="19"/>
  <c r="AJ36" i="19"/>
  <c r="R46" i="19"/>
  <c r="L16" i="19"/>
  <c r="X36" i="19"/>
  <c r="AJ26" i="19"/>
  <c r="R26" i="19"/>
  <c r="X26" i="19"/>
  <c r="R6" i="19"/>
  <c r="AJ46" i="19"/>
  <c r="L46" i="19"/>
  <c r="L6" i="19"/>
  <c r="X46" i="19"/>
  <c r="AH14" i="1"/>
  <c r="AD46" i="19"/>
  <c r="R36" i="19"/>
  <c r="AC9" i="19"/>
  <c r="K49" i="19"/>
  <c r="AI29" i="19"/>
  <c r="K39" i="19"/>
  <c r="Q29" i="19"/>
  <c r="AC19" i="19"/>
  <c r="AC29" i="19"/>
  <c r="AC39" i="19"/>
  <c r="W39" i="19"/>
  <c r="K9" i="19"/>
  <c r="W29" i="19"/>
  <c r="AI49" i="19"/>
  <c r="Q19" i="19"/>
  <c r="AI39" i="19"/>
  <c r="AI9" i="19"/>
  <c r="W19" i="19"/>
  <c r="W9" i="19"/>
  <c r="Q39" i="19"/>
  <c r="W49" i="19"/>
  <c r="AC49" i="19"/>
  <c r="Q49" i="19"/>
  <c r="K29" i="19"/>
  <c r="K19" i="19"/>
  <c r="Q9" i="19"/>
  <c r="AH31" i="1"/>
  <c r="AI19" i="19"/>
  <c r="M28" i="19"/>
  <c r="Y38" i="19"/>
  <c r="AH27" i="1"/>
  <c r="AJ37" i="19"/>
  <c r="L7" i="19"/>
  <c r="X37" i="19"/>
  <c r="AD37" i="19"/>
  <c r="AJ27" i="19"/>
  <c r="AJ17" i="19"/>
  <c r="R47" i="19"/>
  <c r="AJ7" i="19"/>
  <c r="X17" i="19"/>
  <c r="R7" i="19"/>
  <c r="AH20" i="1"/>
  <c r="AD17" i="19"/>
  <c r="L47" i="19"/>
  <c r="AD7" i="19"/>
  <c r="X27" i="19"/>
  <c r="AD27" i="19"/>
  <c r="R27" i="19"/>
  <c r="L37" i="19"/>
  <c r="X7" i="19"/>
  <c r="X47" i="19"/>
  <c r="L17" i="19"/>
  <c r="AJ47" i="19"/>
  <c r="AD47" i="19"/>
  <c r="L27" i="19"/>
  <c r="R17" i="19"/>
  <c r="R37" i="19"/>
  <c r="S8" i="19"/>
  <c r="AE38" i="19"/>
  <c r="AK28" i="19"/>
  <c r="AE28" i="19"/>
  <c r="M8" i="19"/>
  <c r="AK48" i="19"/>
  <c r="Y18" i="19"/>
  <c r="Y28" i="19"/>
  <c r="Y48" i="19"/>
  <c r="S18" i="19"/>
  <c r="AK8" i="19"/>
  <c r="AE8" i="19"/>
  <c r="S48" i="19"/>
  <c r="S38" i="19"/>
  <c r="W24" i="19"/>
  <c r="K44" i="19"/>
  <c r="AC54" i="19"/>
  <c r="AI54" i="19"/>
  <c r="Q54" i="19"/>
  <c r="AC44" i="19"/>
  <c r="AC14" i="19"/>
  <c r="Q34" i="19"/>
  <c r="K24" i="19"/>
  <c r="W54" i="19"/>
  <c r="AI24" i="19"/>
  <c r="W14" i="19"/>
  <c r="Q24" i="19"/>
  <c r="W34" i="19"/>
  <c r="AI34" i="19"/>
  <c r="Q14" i="19"/>
  <c r="W44" i="19"/>
  <c r="AC34" i="19"/>
  <c r="K54" i="19"/>
  <c r="AC24" i="19"/>
  <c r="AI14" i="19"/>
  <c r="AH61" i="1"/>
  <c r="K34" i="19"/>
  <c r="AI44" i="19"/>
  <c r="K14" i="19"/>
  <c r="Q44" i="19"/>
  <c r="Q8" i="19"/>
  <c r="AI28" i="19"/>
  <c r="AC18" i="19"/>
  <c r="AI48" i="19"/>
  <c r="K48" i="19"/>
  <c r="Q28" i="19"/>
  <c r="AI18" i="19"/>
  <c r="W28" i="19"/>
  <c r="AH25" i="1"/>
  <c r="Q18" i="19"/>
  <c r="AC28" i="19"/>
  <c r="W8" i="19"/>
  <c r="AC8" i="19"/>
  <c r="Q48" i="19"/>
  <c r="AC38" i="19"/>
  <c r="AI8" i="19"/>
  <c r="AI38" i="19"/>
  <c r="K18" i="19"/>
  <c r="K8" i="19"/>
  <c r="K38" i="19"/>
  <c r="W38" i="19"/>
  <c r="K28" i="19"/>
  <c r="W48" i="19"/>
  <c r="W18" i="19"/>
  <c r="Q38" i="19"/>
  <c r="AC48" i="19"/>
  <c r="AE21" i="1"/>
  <c r="AC22" i="1" s="1"/>
  <c r="AD21" i="1"/>
  <c r="AF21" i="1"/>
  <c r="AG22" i="1"/>
  <c r="AK18" i="19"/>
  <c r="AE18" i="19"/>
  <c r="AF62" i="1"/>
  <c r="AG63" i="1"/>
  <c r="AF63" i="1" s="1"/>
  <c r="Y34" i="19" s="1"/>
  <c r="S24" i="19" l="1"/>
  <c r="M34" i="19"/>
  <c r="Y14" i="19"/>
  <c r="AE14" i="19"/>
  <c r="M44" i="19"/>
  <c r="S44" i="19"/>
  <c r="X34" i="19"/>
  <c r="AJ24" i="19"/>
  <c r="AJ34" i="19"/>
  <c r="X14" i="19"/>
  <c r="R24" i="19"/>
  <c r="R34" i="19"/>
  <c r="AJ54" i="19"/>
  <c r="R54" i="19"/>
  <c r="L34" i="19"/>
  <c r="AD14" i="19"/>
  <c r="AD54" i="19"/>
  <c r="AD24" i="19"/>
  <c r="X24" i="19"/>
  <c r="AJ44" i="19"/>
  <c r="AD44" i="19"/>
  <c r="AD34" i="19"/>
  <c r="AJ14" i="19"/>
  <c r="R44" i="19"/>
  <c r="X54" i="19"/>
  <c r="R14" i="19"/>
  <c r="L44" i="19"/>
  <c r="L24" i="19"/>
  <c r="L54" i="19"/>
  <c r="AH62" i="1"/>
  <c r="X44" i="19"/>
  <c r="L14" i="19"/>
  <c r="Y24" i="19"/>
  <c r="M24" i="19"/>
  <c r="AF33" i="1"/>
  <c r="AG34" i="1"/>
  <c r="AF34" i="1" s="1"/>
  <c r="AE44" i="19"/>
  <c r="Y54" i="19"/>
  <c r="AE24" i="19"/>
  <c r="AK24" i="19"/>
  <c r="AJ19" i="19"/>
  <c r="AD49" i="19"/>
  <c r="X49" i="19"/>
  <c r="R49" i="19"/>
  <c r="L9" i="19"/>
  <c r="X19" i="19"/>
  <c r="X29" i="19"/>
  <c r="AD9" i="19"/>
  <c r="R39" i="19"/>
  <c r="L19" i="19"/>
  <c r="AJ49" i="19"/>
  <c r="L49" i="19"/>
  <c r="X39" i="19"/>
  <c r="AD29" i="19"/>
  <c r="R19" i="19"/>
  <c r="AJ29" i="19"/>
  <c r="R9" i="19"/>
  <c r="X9" i="19"/>
  <c r="AH32" i="1"/>
  <c r="AJ9" i="19"/>
  <c r="L39" i="19"/>
  <c r="L29" i="19"/>
  <c r="AD19" i="19"/>
  <c r="AD39" i="19"/>
  <c r="AJ39" i="19"/>
  <c r="R29" i="19"/>
  <c r="S34" i="19"/>
  <c r="Y44" i="19"/>
  <c r="S54" i="19"/>
  <c r="AE54" i="19"/>
  <c r="M37" i="19"/>
  <c r="S17" i="19"/>
  <c r="AK17" i="19"/>
  <c r="S37" i="19"/>
  <c r="AE7" i="19"/>
  <c r="S7" i="19"/>
  <c r="Y17" i="19"/>
  <c r="S27" i="19"/>
  <c r="Y27" i="19"/>
  <c r="AE27" i="19"/>
  <c r="Y47" i="19"/>
  <c r="AH21" i="1"/>
  <c r="S47" i="19"/>
  <c r="M27" i="19"/>
  <c r="AE47" i="19"/>
  <c r="AK47" i="19"/>
  <c r="AE37" i="19"/>
  <c r="AK37" i="19"/>
  <c r="M17" i="19"/>
  <c r="Y7" i="19"/>
  <c r="Y37" i="19"/>
  <c r="AE17" i="19"/>
  <c r="M47" i="19"/>
  <c r="AK27" i="19"/>
  <c r="AK7" i="19"/>
  <c r="M7" i="19"/>
  <c r="M54" i="19"/>
  <c r="AK44" i="19"/>
  <c r="M14" i="19"/>
  <c r="AE46" i="19"/>
  <c r="AE26" i="19"/>
  <c r="AE36" i="19"/>
  <c r="Y16" i="19"/>
  <c r="S6" i="19"/>
  <c r="M6" i="19"/>
  <c r="Y26" i="19"/>
  <c r="S46" i="19"/>
  <c r="AK36" i="19"/>
  <c r="AK16" i="19"/>
  <c r="S26" i="19"/>
  <c r="M36" i="19"/>
  <c r="S16" i="19"/>
  <c r="Y6" i="19"/>
  <c r="Y36" i="19"/>
  <c r="M46" i="19"/>
  <c r="M16" i="19"/>
  <c r="AE6" i="19"/>
  <c r="Y46" i="19"/>
  <c r="M26" i="19"/>
  <c r="AK6" i="19"/>
  <c r="AH15" i="1"/>
  <c r="S36" i="19"/>
  <c r="AK26" i="19"/>
  <c r="AK46" i="19"/>
  <c r="AE16" i="19"/>
  <c r="AH63" i="1"/>
  <c r="AF22" i="1"/>
  <c r="AG23" i="1"/>
  <c r="AF23" i="1" s="1"/>
  <c r="S14" i="19"/>
  <c r="AK34" i="19"/>
  <c r="AK14" i="19"/>
  <c r="AE22" i="1"/>
  <c r="AC23" i="1" s="1"/>
  <c r="AD22" i="1"/>
  <c r="AK54" i="19"/>
  <c r="AE34" i="19"/>
  <c r="AF17" i="19" l="1"/>
  <c r="Z47" i="19"/>
  <c r="T7" i="19"/>
  <c r="AL27" i="19"/>
  <c r="AF47" i="19"/>
  <c r="T17" i="19"/>
  <c r="Z37" i="19"/>
  <c r="N7" i="19"/>
  <c r="AL7" i="19"/>
  <c r="AL47" i="19"/>
  <c r="N27" i="19"/>
  <c r="Z27" i="19"/>
  <c r="N47" i="19"/>
  <c r="AH22" i="1"/>
  <c r="AL17" i="19"/>
  <c r="AF7" i="19"/>
  <c r="N37" i="19"/>
  <c r="Z17" i="19"/>
  <c r="AF37" i="19"/>
  <c r="T47" i="19"/>
  <c r="N17" i="19"/>
  <c r="T27" i="19"/>
  <c r="Z7" i="19"/>
  <c r="AL37" i="19"/>
  <c r="AF27" i="19"/>
  <c r="T37" i="19"/>
  <c r="AD23" i="1"/>
  <c r="AE23" i="1"/>
  <c r="T9" i="19"/>
  <c r="Z49" i="19"/>
  <c r="AH34" i="1"/>
  <c r="AL39" i="19"/>
  <c r="Z19" i="19"/>
  <c r="N9" i="19"/>
  <c r="AF29" i="19"/>
  <c r="AF49" i="19"/>
  <c r="AF19" i="19"/>
  <c r="AF39" i="19"/>
  <c r="AL49" i="19"/>
  <c r="AF9" i="19"/>
  <c r="N19" i="19"/>
  <c r="N49" i="19"/>
  <c r="T39" i="19"/>
  <c r="Z29" i="19"/>
  <c r="AL9" i="19"/>
  <c r="Z9" i="19"/>
  <c r="Z39" i="19"/>
  <c r="N39" i="19"/>
  <c r="T29" i="19"/>
  <c r="N29" i="19"/>
  <c r="T49" i="19"/>
  <c r="AL29" i="19"/>
  <c r="T19" i="19"/>
  <c r="AL19" i="19"/>
  <c r="M19" i="19"/>
  <c r="AK9" i="19"/>
  <c r="AK39" i="19"/>
  <c r="Y9" i="19"/>
  <c r="AE19" i="19"/>
  <c r="S39" i="19"/>
  <c r="AK19" i="19"/>
  <c r="S29" i="19"/>
  <c r="AE39" i="19"/>
  <c r="M29" i="19"/>
  <c r="M39" i="19"/>
  <c r="Y29" i="19"/>
  <c r="AE9" i="19"/>
  <c r="AK29" i="19"/>
  <c r="AE29" i="19"/>
  <c r="AK49" i="19"/>
  <c r="Y19" i="19"/>
  <c r="M49" i="19"/>
  <c r="S9" i="19"/>
  <c r="Y39" i="19"/>
  <c r="S49" i="19"/>
  <c r="M9" i="19"/>
  <c r="AE49" i="19"/>
  <c r="S19" i="19"/>
  <c r="Y49" i="19"/>
  <c r="AH33" i="1"/>
  <c r="AG47" i="19" l="1"/>
  <c r="AA37" i="19"/>
  <c r="O7" i="19"/>
  <c r="AG27" i="19"/>
  <c r="AG17" i="19"/>
  <c r="U7" i="19"/>
  <c r="AM27" i="19"/>
  <c r="U27" i="19"/>
  <c r="AH23" i="1"/>
  <c r="AM37" i="19"/>
  <c r="AM17" i="19"/>
  <c r="O47" i="19"/>
  <c r="U17" i="19"/>
  <c r="O27" i="19"/>
  <c r="U47" i="19"/>
  <c r="AM47" i="19"/>
  <c r="AA27" i="19"/>
  <c r="U37" i="19"/>
  <c r="AM7" i="19"/>
  <c r="AG7" i="19"/>
  <c r="O17" i="19"/>
  <c r="AA47" i="19"/>
  <c r="AA7" i="19"/>
  <c r="AG37" i="19"/>
  <c r="AA17" i="19"/>
  <c r="O37"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<sst xmlns="http://schemas.openxmlformats.org/spreadsheetml/2006/main" count="1035" uniqueCount="484">
  <si>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</si>
  <si>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</si>
  <si>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</si>
  <si>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</si>
  <si>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</si>
  <si>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</si>
  <si>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</si>
  <si>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</si>
  <si>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</si>
  <si>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</si>
  <si>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</si>
  <si>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</si>
  <si>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</si>
  <si>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</si>
  <si>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</si>
  <si>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</si>
  <si>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</si>
  <si>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</si>
  <si>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</si>
  <si>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</si>
  <si>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</si>
  <si>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</si>
  <si>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</si>
  <si>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</si>
  <si>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</si>
  <si>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</si>
  <si>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</si>
  <si>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</si>
  <si>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</si>
  <si>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</si>
  <si>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</si>
  <si>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</si>
  <si>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</si>
  <si>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</si>
  <si>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</si>
  <si>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</si>
  <si>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</si>
  <si>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</si>
  <si>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</si>
  <si>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</si>
  <si>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</si>
  <si>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</si>
  <si>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</si>
  <si>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</si>
  <si>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</si>
  <si>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</si>
  <si>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</si>
  <si>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</si>
  <si>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</si>
  <si>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</si>
  <si>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</si>
  <si>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</si>
  <si>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</si>
  <si>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</si>
  <si>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</si>
  <si>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</si>
  <si>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</si>
  <si>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</si>
  <si>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</si>
  <si>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</si>
  <si>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</si>
  <si>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</si>
  <si>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</si>
  <si>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</si>
  <si>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</si>
  <si>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</si>
  <si>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</si>
  <si>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</si>
  <si>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</si>
  <si>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</si>
  <si>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</si>
  <si>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</si>
  <si>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</si>
  <si>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</si>
  <si>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</si>
  <si>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</si>
  <si>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</si>
  <si>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</si>
  <si>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</si>
  <si>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</si>
  <si>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</si>
  <si>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</si>
  <si>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</si>
  <si>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</si>
  <si>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</si>
  <si>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</si>
  <si>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</si>
  <si>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</si>
  <si>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</si>
  <si>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</si>
  <si>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</si>
  <si>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</si>
  <si>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</si>
  <si>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</si>
  <si>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</si>
  <si>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</si>
  <si>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</si>
  <si>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</si>
  <si>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</si>
  <si>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</si>
  <si>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</si>
  <si>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</si>
  <si>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</si>
  <si>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</si>
  <si>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</si>
  <si>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</si>
  <si>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</si>
  <si>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</si>
  <si>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</si>
  <si>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</si>
  <si>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</si>
  <si>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</si>
  <si>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</si>
  <si>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</si>
  <si>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</si>
  <si>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</si>
  <si>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</si>
  <si>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</si>
  <si>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</si>
  <si>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</si>
  <si>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</si>
  <si>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</si>
  <si>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</si>
  <si>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</si>
  <si>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</si>
  <si>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</si>
  <si>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</si>
  <si>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</si>
  <si>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</si>
  <si>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</si>
  <si>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</si>
  <si>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</si>
  <si>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</si>
  <si>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</si>
  <si>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</si>
  <si>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</si>
  <si>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</si>
  <si>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</si>
  <si>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</si>
  <si>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</si>
  <si>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</si>
  <si>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</si>
  <si>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</si>
  <si>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</si>
  <si>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</si>
  <si>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</si>
  <si>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</si>
  <si>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</si>
  <si>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</si>
  <si>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</si>
  <si>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</si>
  <si>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</si>
  <si>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</si>
  <si>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</si>
  <si>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</si>
  <si>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</si>
  <si>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</si>
  <si>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</si>
  <si>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</si>
  <si>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</si>
  <si>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</si>
  <si>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</si>
  <si>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</si>
  <si>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</si>
  <si>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</si>
  <si>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</si>
  <si>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</si>
  <si>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</si>
  <si>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</si>
  <si>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</si>
  <si>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</si>
  <si>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</si>
  <si>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</si>
  <si>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</si>
  <si>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</si>
  <si>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</si>
  <si>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</si>
  <si>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</si>
  <si>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</si>
  <si>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</si>
  <si>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</si>
  <si>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</si>
  <si>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</si>
  <si>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</si>
  <si>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</si>
  <si>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</si>
  <si>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</si>
  <si>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</si>
  <si>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</si>
  <si>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</si>
  <si>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</si>
  <si>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</si>
  <si>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</si>
  <si>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</si>
  <si>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</si>
  <si>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</si>
  <si>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</si>
  <si>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</si>
  <si>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</si>
  <si>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</si>
  <si>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</si>
  <si>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</si>
  <si>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</si>
  <si>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</si>
  <si>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</si>
  <si>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</si>
  <si>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</si>
  <si>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</si>
  <si>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</si>
  <si>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</si>
  <si>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</si>
  <si>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Grupo</t>
  </si>
  <si>
    <t>Consecuencias</t>
  </si>
  <si>
    <t>MINISTERIO DE DEFENSA NACIONAL
COMANDO GENERAL DE LAS FUERZAS MILITARES
DIRECCIÓN GENERAL DE SANIDAD MILITAR
GRUPO DE PLANEACIÓN ESTRATEGICA</t>
  </si>
  <si>
    <t>Formato Mapa de Riesgos Institucional DIGSA</t>
  </si>
  <si>
    <t>MDN-COGFM-PROPLAES-DIGSA-FU.95.1-43</t>
  </si>
  <si>
    <t>Proceso: Planeación estratégica</t>
  </si>
  <si>
    <t>ESTRATEGICO</t>
  </si>
  <si>
    <t>Grupo Planeaciòn Estrategica - Area Presupuestación - ARPRE</t>
  </si>
  <si>
    <t>Trimestral</t>
  </si>
  <si>
    <t>Área de Comunicaciones Estratégicas y Gestión del Cambio - ARCOM</t>
  </si>
  <si>
    <t>Causas</t>
  </si>
  <si>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</si>
  <si>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ARCOM</t>
  </si>
  <si>
    <t>Nombre del Riesgo</t>
  </si>
  <si>
    <t>Descripciòn del Riesgo</t>
  </si>
  <si>
    <t>Grupo Planeaciòn Estrategica - Sistemas Integrados de Gestión - ARSIG</t>
  </si>
  <si>
    <t>Grupo Planeaciòn Estrategica - Desarrollo Institucional - ARDEY</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</si>
  <si>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</si>
  <si>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</si>
  <si>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</si>
  <si>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</si>
  <si>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</si>
  <si>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</si>
  <si>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</si>
  <si>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</si>
  <si>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</si>
  <si>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</si>
  <si>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</si>
  <si>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</si>
  <si>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</si>
  <si>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</si>
  <si>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</si>
  <si>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</si>
  <si>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Talento Humano - GRUTH</t>
  </si>
  <si>
    <t>Subdirecciòn Administrativa y Financiera - Gestión Financiera - GRUFI</t>
  </si>
  <si>
    <t>Subdirecciòn Administrativa y Financiera - Apoyo Logistico - GRUAA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</si>
  <si>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</si>
  <si>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</si>
  <si>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</si>
  <si>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</si>
  <si>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</si>
  <si>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</si>
  <si>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</si>
  <si>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</si>
  <si>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</si>
  <si>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</si>
  <si>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</si>
  <si>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</si>
  <si>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</si>
  <si>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</si>
  <si>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</si>
  <si>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</si>
  <si>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</si>
  <si>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</si>
  <si>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</si>
  <si>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</si>
  <si>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</si>
  <si>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</si>
  <si>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</si>
  <si>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</si>
  <si>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</si>
  <si>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</si>
  <si>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</si>
  <si>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</si>
  <si>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</si>
  <si>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</si>
  <si>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</si>
  <si>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</si>
  <si>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</si>
  <si>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</si>
  <si>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</si>
  <si>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</si>
  <si>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ARDEY</t>
  </si>
  <si>
    <t>ARPRE</t>
  </si>
  <si>
    <t>ARCYE</t>
  </si>
  <si>
    <t>GRSYE</t>
  </si>
  <si>
    <t>GRULE</t>
  </si>
  <si>
    <t>GRAPS</t>
  </si>
  <si>
    <t>AREDO</t>
  </si>
  <si>
    <t>SISAM</t>
  </si>
  <si>
    <t>GRUGI</t>
  </si>
  <si>
    <t>GRERI</t>
  </si>
  <si>
    <t>GRUAS</t>
  </si>
  <si>
    <t>GROSD</t>
  </si>
  <si>
    <t>GRUSO</t>
  </si>
  <si>
    <t>ARHMC</t>
  </si>
  <si>
    <t>ARICM</t>
  </si>
  <si>
    <t>GRUCO</t>
  </si>
  <si>
    <t>GRUTH</t>
  </si>
  <si>
    <t>GRUFI</t>
  </si>
  <si>
    <t>GRUAA</t>
  </si>
  <si>
    <t>GRUGA</t>
  </si>
  <si>
    <t>mensual</t>
  </si>
  <si>
    <t>MINISTERIO DE DEFENSA NACIONAL
COMANDO GENERAL DE LAS FUERZAS MILITARES
DIRECCIÓN GENERAL DE SANIDAD MILITAR
GRUPO DE PLANEACIÓN Y DESARROLLO INSTITUCIONAL</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</si>
  <si>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</si>
  <si>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</si>
  <si>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</si>
  <si>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</si>
  <si>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</si>
  <si>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</si>
  <si>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</si>
  <si>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</si>
  <si>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</si>
  <si>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Diciembre del 2020</t>
  </si>
  <si>
    <t>Se actualizo el formato con la finalidad de especificar la etapa de Identificación y tratamiento e incluir la columan de Soporte de la actividad de control</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</si>
  <si>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</si>
  <si>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</si>
  <si>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Septiembre del 2022</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</si>
  <si>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</si>
  <si>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</si>
  <si>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</si>
  <si>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</si>
  <si>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</si>
  <si>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</si>
  <si>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</si>
  <si>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</si>
  <si>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</si>
  <si>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Instructivo de Diligenciamiento Matriz Mapa de Riesgos</t>
  </si>
  <si>
    <t>Responsable del Proceso:</t>
  </si>
  <si>
    <t>Funcionario responsable del Grupo, Proceso o Àrea</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</si>
  <si>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</si>
  <si>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</si>
  <si>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</si>
  <si>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</si>
  <si>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</si>
  <si>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</si>
  <si>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</si>
  <si>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</si>
  <si>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</si>
  <si>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</si>
  <si>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</si>
  <si>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Fuente:  
1. Guia para la Administración del Riesgo, codigo MDN-COGFM-PROPLAES-DIGSA-GI.95.1-2 V1
2. Adaptado de Curso Riesgo Operativo Universidad del Rosario por Dirección de Gestión y Desempeño Institucional de Función Pública,  2020.</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</si>
  <si>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2"/>
        <color theme="9" tint="-0.249977111117893"/>
        <rFont val="Arial"/>
        <family val="2"/>
      </rPr>
      <t>Guía para la Administración del Riesgo y el diseño de controles V5</t>
    </r>
    <r>
      <rPr>
        <sz val="12"/>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</si>
  <si>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2"/>
        <color theme="9" tint="-0.249977111117893"/>
        <rFont val="Arial"/>
        <family val="2"/>
      </rPr>
      <t>Paso 2: identificación del riesgo</t>
    </r>
    <r>
      <rPr>
        <sz val="12"/>
        <rFont val="Arial"/>
        <family val="2"/>
      </rPr>
      <t xml:space="preserve">, donde se explica ampliamente las bases para adelanter este análisis.
Así mismo, considere en el </t>
    </r>
    <r>
      <rPr>
        <sz val="12"/>
        <color theme="9" tint="-0.249977111117893"/>
        <rFont val="Arial"/>
        <family val="2"/>
      </rPr>
      <t>Paso 3: valoración del riesgo</t>
    </r>
    <r>
      <rPr>
        <sz val="12"/>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2"/>
        <color theme="9" tint="-0.249977111117893"/>
        <rFont val="Arial"/>
        <family val="2"/>
      </rPr>
      <t>NOTA:</t>
    </r>
    <r>
      <rPr>
        <sz val="12"/>
        <rFont val="Arial"/>
        <family val="2"/>
      </rPr>
      <t xml:space="preserve"> Si lo considera pertinente, es posible agregar hojas de trabajo adicionales al presente formato que permitan incluir la traza de estos análisis.</t>
    </r>
  </si>
  <si>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</si>
  <si>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12"/>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</si>
  <si>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12"/>
        <color theme="9" tint="-0.249977111117893"/>
        <rFont val="Arial"/>
        <family val="2"/>
      </rPr>
      <t>Responsable de ejecutar el control + Acción + Complemento</t>
    </r>
  </si>
  <si>
    <r>
      <t>La matriz automáticamente hará el cálculo, acorde con el control o controles definidos con sus atributos analizados, lo que permitirá establecer el</t>
    </r>
    <r>
      <rPr>
        <sz val="12"/>
        <color theme="9" tint="-0.249977111117893"/>
        <rFont val="Arial"/>
        <family val="2"/>
      </rPr>
      <t xml:space="preserve"> nivel de riesgo inherente</t>
    </r>
    <r>
      <rPr>
        <sz val="12"/>
        <rFont val="Arial"/>
        <family val="2"/>
      </rPr>
      <t xml:space="preserve"> (Columnas Y- Z- AA -AB- AC).</t>
    </r>
  </si>
  <si>
    <t xml:space="preserve"> -  Hoja 3 Matriz de Calor Inherente:  En esta hoja, en la medida en que ese diligencia el Mapa Final, se verán reflejados los riesgos en su zona correspondiente. Esta hoja no se diligencia se genera de manera automática.</t>
  </si>
  <si>
    <t xml:space="preserve"> -  Hoja 4 Matriz de Calor Residual: En esta hoja, en la medida en que ese diligencia el Mapa Final, se verán reflejados los riesgos en su zona correspondiente. Esta hoja no se diligencia se genera de manera automática.</t>
  </si>
  <si>
    <t xml:space="preserve"> -  Hoja 5 Tabla de probabilidad: Tabla referente para todos los cálculos (no se diligencia)</t>
  </si>
  <si>
    <t xml:space="preserve"> -  Hoja 6 Tabla de Impacto: Tabla referente para todos los cálculos (no se diligencia)</t>
  </si>
  <si>
    <t xml:space="preserve"> -  Hoja 7 Tabla de Impacto Corrupción: Tabla referente para todos los cálculos,El impacto se debe analizar y calificar a partir de las consecuencias identificadas en la fase de descripción del riesgo.</t>
  </si>
  <si>
    <t xml:space="preserve"> -  Hoja 8 Tabla de Valoración de Controles: Tabla referente para todos los cálculos (no se diligencia)</t>
  </si>
  <si>
    <t>Seguridad de Informaciòn</t>
  </si>
  <si>
    <t>Corrupción</t>
  </si>
  <si>
    <t>R1</t>
  </si>
  <si>
    <t>R2</t>
  </si>
  <si>
    <t>R3</t>
  </si>
  <si>
    <t>R4</t>
  </si>
  <si>
    <t>R5</t>
  </si>
  <si>
    <t>R6</t>
  </si>
  <si>
    <t>R7</t>
  </si>
  <si>
    <t>R8</t>
  </si>
  <si>
    <t>R9</t>
  </si>
  <si>
    <t>R10</t>
  </si>
  <si>
    <t>R11</t>
  </si>
  <si>
    <t>R12</t>
  </si>
  <si>
    <t>R13</t>
  </si>
  <si>
    <t>R14</t>
  </si>
  <si>
    <t>R15</t>
  </si>
  <si>
    <t>R16</t>
  </si>
  <si>
    <t>Subdirección Administrativa y Financiera - Grupo Contratación - GRUCO</t>
  </si>
  <si>
    <t>Mapa Riesgos Corrupción Dirección General de Sanidad Militar</t>
  </si>
  <si>
    <t>uso indebido de información confidencial para beneficio propio o de terceros</t>
  </si>
  <si>
    <t>Procesos Disciplinarios</t>
  </si>
  <si>
    <t>Subdirección de Salud - Gestión de la Afiliación - GRUGA</t>
  </si>
  <si>
    <t>traficos de Influencias para el nombramiento de personal en cargos de libre nombramiento y remosion y/o provisionalidad y/o contraciòn por prestacion de servicios.</t>
  </si>
  <si>
    <t xml:space="preserve">Ingresar a  aplicativos y base de datos sin tener los roles o permisos por parte de los administradores, y acceder a información confidencial y reservada. </t>
  </si>
  <si>
    <t xml:space="preserve">,
Realizar trafico de influencia a travez del cargo para nombramientos de personal, sin los requisitos requeridos </t>
  </si>
  <si>
    <t>Corresponde al suministro de la información para beneficio propio de un tercero dentro de un proceso disciplinario.</t>
  </si>
  <si>
    <t>Sanciones de entes de Control
Procesos Disciplilnarios</t>
  </si>
  <si>
    <t>Acceso no autorizado a informaciòn confidencial
Suministro de Informaciòn a Personal no Autorizado.
Areas de almacenamiento sin el cumplimiento de seguridad de integridad de información y de gestión documental.</t>
  </si>
  <si>
    <t>Manejo inadecuado de los procesos de nombramiento de personal.
Investigaciones disciplinarias, responsabilidad legal, inadecuado funcionamiento de la entidad.</t>
  </si>
  <si>
    <t>Detrimento patrimonial de la entidad por favorecimiento a terceros.
Favorecimiento de terceros.
Registrar información no verdadera, falta de compromiso institucional..
Registrar información no verdadera</t>
  </si>
  <si>
    <t>Manejo indebido de la información almacenada en  la Base Datos de Afiliados al SSFM con permisos de acceso para favorecimiento propio y/o de un tercero.
Interés de obtener un beneficio particular o beneficiar a terceros.
Falta de ética y aplicación de valores institucionales.
Desconocimiento de las políticas de manejo de información.</t>
  </si>
  <si>
    <t>Omitir la norma en lo relacionado a procesos de selección de personal de planta.
Tráfico de influencias.
Abuso de poder.</t>
  </si>
  <si>
    <t>perdida de la reserva legal en los procesos disciplinarios por el uso inadecuado de información confidencial para beneficio propio o de treceros</t>
  </si>
  <si>
    <t>Sanciones entes de control, demandas, nulidades procesales</t>
  </si>
  <si>
    <t>Pérdida de documentos o fuga de la información por acceso indebido o no autorizado a las áreas de custodia, conservación y almacenamiento de los archivos Dirección General de Sanidad Militar.,</t>
  </si>
  <si>
    <t xml:space="preserve">La Entidad no cuenta con el Instrumento Tablas de Control de Acceso.
Falta de protocolos al ingreso a las áreas de conservación y almacenamiento de los archivos. 
Ausencias de políticas o acuerdo de confidencialidad y reserva de la información. </t>
  </si>
  <si>
    <t>uso indebiduo de información privilegiada y confidencial del archivo de gestion y archivo central para beneficio propio o de terceros</t>
  </si>
  <si>
    <t>Omisión del principio de publicidad, falta de información de los procesos contractuales a los interesados, para beneficiar a una firma en particular y obtener provecho propio o intereses particulares.</t>
  </si>
  <si>
    <t>Reprocesos en la etapa contractual y postcontractual.
Pérdida de recursos.
Posibles sanciones legales y disciplinarias.
Hallazgos y observaciones con posible incidencia disciplinaria por parte de entes de control.</t>
  </si>
  <si>
    <t>Celebrar contratos de adquisición de bienes y servicios sin estar incluidos y debidamente autorizados en el plan anual de adquisiciones.
Incumplimiento de compromisos (Plan de acción, en el Plan de Adquisición de Bienes y Servicios).
Demandas judiciales en contra de la entidad.
Pérdida de credibilidad en la imagen institucional.
Hallazgos por parte de organismos de control
Deficiencias en el planeamiento por parte de las diferentes Subdirecciones y Grupos de la DIGSA
Tráfico de influencias</t>
  </si>
  <si>
    <t>alteración o modificación  de la información relacionada en: estudios previos, pliego de condiciones, en adendas al pliego de condiciones o en evaluaciones de las propuestas, para favorecimiento propio o beneficio  de terceros.</t>
  </si>
  <si>
    <t>sanciones de entes de control, procesos disciplinarios</t>
  </si>
  <si>
    <t>recibir o solicitar cualquier dádiva o beneficio a nombre propio o de terceros por realizar afiliaciones al subsistema de salud de las fuerzas militares sin el cumplimiento de requisitos.</t>
  </si>
  <si>
    <t>Posibilidad de afectaciòn reputacional debido a procesos disciplinarios, sanciones entes de control y vigilancia por recibir o solicitar cualquier dádiva o beneficio a nombre propio o de terceros por realizar afiliaciones al subsistema de salud de las fuerzas militares sin el cumplimiento de requisitos.</t>
  </si>
  <si>
    <t>No presentar la información real dentro de los procesos de auditoria para favorecer interes propios o de terceros</t>
  </si>
  <si>
    <t>favorecimiento a terceros en la no divulgaciòn de la informaciòn real evidenciada en el proceso de auditoria.</t>
  </si>
  <si>
    <t>Ocultar información sobre hallazgos o no conformidades</t>
  </si>
  <si>
    <t>Perdida de la imagen institucional
Procesos Disciplinarios</t>
  </si>
  <si>
    <t>desviación de recursos asignados al subsistema de salud por gastos que no esten en el marco de la ley 352 de 2008 y la normatividad vigente</t>
  </si>
  <si>
    <t>procesos disciplinarios, sanciones entes de control y vigilancia</t>
  </si>
  <si>
    <t>Realizar gastos a cargo del presupuesto del Subsistema de salud sin el cumplimiento de los requisitos normativos.</t>
  </si>
  <si>
    <t>Posibilidad afectación economica y reputacional por procesos disciplinarios, sanciones entes de control y vigilancia debido a la desviación de recursos asignados al subsistema de salud por gastos que no esten en el marco de la ley 352 de 2008 y la normatividad vigente.</t>
  </si>
  <si>
    <t>Sanciones Disciplinarias
Peculado
Sanciones Entes de Control y Vigilancia</t>
  </si>
  <si>
    <t>Adquisiciones de bienes y servicios no incluidos dentro del plan de compras ni amparen la prestacion de los servicios de salud.</t>
  </si>
  <si>
    <t>Proceso Disciplinarios</t>
  </si>
  <si>
    <t>1. Por incumplimiento al artículo 44 de la Ley 1952 de 2019 se radica la solicitud de iniciar un proceso en la oficina de Control Disciplinario Interno del Ministerio de Defensa Nacional.
2. Afectación de la imagen institucional.
3. Detrimento patrimonial. 
4. Incremento en la solicitud de investigaciones disciplinarias o penales.
5. Actividades sin cumplir que afecten los procedimientos y procesos.</t>
  </si>
  <si>
    <t xml:space="preserve"> procesos disciplinaios</t>
  </si>
  <si>
    <t>La Coordinación de Asuntos legales frente a la divulgación, acceso de información confidencial, realizara gestión ante el Ministerio de Defensa Oficina de asuntos disciplinarios para dar inicio la actuación disciplinaria en contral del funcionario infractor.</t>
  </si>
  <si>
    <t>En Recurso</t>
  </si>
  <si>
    <t>Plan de Contingencia</t>
  </si>
  <si>
    <t>El Responsable de Evaluación y Seguimiento realiza la verificación de la idoniedad del personal auditor para realizar la auditoria durante la vigencia, igualmente informa sobre principios y reglas de conducta a seguir en el momento de realizar la auditoria al SSFM.</t>
  </si>
  <si>
    <t>Cuatrimestralmente</t>
  </si>
  <si>
    <t>En Curso</t>
  </si>
  <si>
    <t>El Coordinador de Seguimiento y Evaluación, asigna un funcionario para realizar la verificación del informe de auditoria a los posible ausencias de información frente a la situación real presentada en la auditoria realizada al SSFM.</t>
  </si>
  <si>
    <t>El Coordinador del Grupo de gestión de la afiliación notifica mediante oficio de la Dirección General de Sanidad Militar a las EPS del sistema general de salud de seguridad social, las afiliaciones múltiples detectadas con el fin de que sean subsanadas.
El Coordinador del Grupo de gestión de la afiliación realiza notificación al usuario mediante el sistema de SALUD.SIS, a los beneficiarios informando el inicio del periodo de la protección médica para subsanar la multi afiliación, a los cotizantes y no cotizantes se realiza una notificación a través del aplicativo SALUD.SIS informativa para subsanar las afiliaciones múltiples.</t>
  </si>
  <si>
    <t xml:space="preserve">Realizar el reporte de ingresos y novedades del SSFM ante la ADRES, para cruce de Base de Datos de Afiliados y beneficiarios, el resultado es un reporte de las novedades encontradas de multi afiliación.
OBJ. 1. Actualizar e implementar políticas y lineamientos para la gestión del aseguramiento y la prestación de los Servicios de Salud Gestión de la Atención Integral en Salud &gt; Gestionar el Riesgo en Salud &gt; Realizar la gestión de la afiliación del SSFM en concordancia al MATIS_GRUGA
</t>
  </si>
  <si>
    <t>El Responsable de Gestión de la Afiliación realiza el diligenciamiento del formato compromiso de reserva y la confidencialidad de la información a los funcionarios con acceso al módulo de afiliaciones, de acuerdo al ingreso de funcionarios al área, en el cumplimiento de la reserva y confidencialidad de la información de acuerdo a la normatividad institucional y vigente.</t>
  </si>
  <si>
    <t>Los funcionarios responsables del Módulo SALUD.SIS, realizan diligenciamiento de la declaración de aceptación y compromiso de cumplimiento políticas de seguridad informática para las fuerzas militares, firmado por el funcionario y el Coordinador de área.</t>
  </si>
  <si>
    <r>
      <t xml:space="preserve">El Responsable de Gestión de la Afiliación realiza capacitación sobre el manejo y tratamiento de datos personales, y se registra en el acta los temas presentados y los compromisos adquiridos. </t>
    </r>
    <r>
      <rPr>
        <b/>
        <sz val="12"/>
        <color theme="1"/>
        <rFont val="Arial"/>
        <family val="2"/>
      </rPr>
      <t>Soporte de Control: Acta de Capacitaciòn</t>
    </r>
  </si>
  <si>
    <r>
      <t xml:space="preserve">El Responsable de Gestión de la Afiliación realiza el Control de asignación de roles para el manejo y acceso a la base datos e información del aplicativo Salud. SIS, a los funcionaros, registrando en el formato de creación y/o modificación de usuarios SALUD.SIS., y se asigna a través del líder funcional del módulo afiliaciones de SALUD.SIS, igualmente para realizar la inactivación de los usuarios por cambio de proceso o retiro. </t>
    </r>
    <r>
      <rPr>
        <b/>
        <sz val="12"/>
        <color theme="1"/>
        <rFont val="Arial"/>
        <family val="2"/>
      </rPr>
      <t>Soporte de Control: Presentar cualitativa y cuantitavivamente la actividades realizadas trimestralmente.</t>
    </r>
  </si>
  <si>
    <t xml:space="preserve">Realizar monitoreo a roles y permisos de los funcionarios con acceso al módulo de afiliaciones SALUD.SIS, semestralmente por parte del líder funcional del módulo de afiliaciones.
OBJ. 1. Actualizar e implementar políticas y lineamientos para la gestión del aseguramiento y la prestación de los Servicios de Salud Gestión de la Atención Integral en Salud &gt; Gestionar el Riesgo en Salud &gt; Realizar la gestión de la afiliación del SSFM en concordancia al MATIS_GRUGA
</t>
  </si>
  <si>
    <t xml:space="preserve">Realizar la inactivación del rol en el módulo de afiliaciones de SALUD.SIS, por el líder funcional, notificando mediante correo electrónico los permisos y la novedad de cambio de rol.
Revisar el log de auditoria del módulo de afiliaciones SALUD.SIS, establecer los movimientos realizados por el funcionario responsable.
</t>
  </si>
  <si>
    <t>El Responsable de Gestión de la Afiliación realiza inactivación de usuarios en el sistema información SALUDSIS que no cumple con requisitos de afiliación y se encuentran afiliados, previa notificación a los usuarios y vencimiento de términos de respuesta de acuerdo a la ley, de acuerdo al informe de gestión de base de datos.</t>
  </si>
  <si>
    <t>El Responsable de Gestión de la Afiliación realiza notificación al afiliados y beneficiarios sobre la afiliación múltiple y el no cumplimiento de requisitos en la afiliación, lo anterior mediante oficio institucional. Producto de Control Informe trimestral de gestión de la base de datos.</t>
  </si>
  <si>
    <r>
      <t xml:space="preserve">El responsable de gestión documental define los roles y permisos en el SGDEA para la gestión y uso de la documentación, el cual es de uso exclusivo de cada Coordinador, se realiza capacitación e inducción en el uso de contraseñas para el buen uso y administración, registrado en acta de capacitación y/o forma de capacitación, este proceso se realiza de acuerdo a la periodicidad en los cambios de los funcionarios responsables. </t>
    </r>
    <r>
      <rPr>
        <b/>
        <sz val="12"/>
        <color theme="1"/>
        <rFont val="Arial"/>
        <family val="2"/>
      </rPr>
      <t>Soporte de Control: Acta de capacitación y/o informe trimestral.</t>
    </r>
  </si>
  <si>
    <t>El proceso de gestión tiene implementado el formato para las solicitudes de suministro de información el cual es verificado y autorizado por el responsable del Área de gestión documental, igualmente se verifica los gestores documentales activos actualizados por los Coordinadores y/o responsables de área.</t>
  </si>
  <si>
    <t>El responsable de gestión documental controla el ingreso y acceso al área archivos de gestión y central únicamente a los gestores documentales designados por los Coordinadores, verificando la lista de gestores actualizada informada por los Coordinadores de área, registrado en el Sistema de Información SGDEA.</t>
  </si>
  <si>
    <t>El responsable de gestión documental implementa los acuerdos de confidencialidad en el uso y manejo de información privilegiada, los cuales son firmados por cada gestor documental, lo que permite establecer responsabilidad por el gestor documental frente al uso y administración de los documentos institucionales.</t>
  </si>
  <si>
    <t>El responsable de gestión documental tiene implementado dentro del área de archivo de gestión y central sistema de monitoreo para verificación de ingresos en caso de materializarse el riesgo, se dispone de copia de seguridad, y frente a la materialización se realizará auditoria al ingreso del personal de acuerdo a la solicitud del proceso afectado.</t>
  </si>
  <si>
    <t xml:space="preserve">Revisar acuerdo de confidencialidad en los gestores documentales.
OBJ. 4. Fortalecer y aplicar los mecanismos de control y seguimiento en la gestión del aseguramiento y la Prestación de los Servicios Mejoramiento de los Sistemas de Gestión &gt; Implementación del Sistema Integrado de Planeación y Gestión &gt; Efectuar planes y proyectos que gestionen, automaticen, brinden seguridad y acceso a la información contenida en los documentos de archivo AREDO
</t>
  </si>
  <si>
    <t>En Proceso</t>
  </si>
  <si>
    <t xml:space="preserve">Realizar informe al Director de la Dirección General de Sanidad Militar, indicando, tipo de documento, proceso afectado, para las acciones administrativas correspondientes.
Revisión de registro de ingresos verificando funcionario, hora y tipo de documentación solicitada.
Revisión del sistema de vigilancia, revisando la hora y fecha de registro de ingresos al área afectada, de acuerdo a la información suministrada por el funcionario responsable del proceso afectado.
</t>
  </si>
  <si>
    <t>Anualmente actualizar formato de reserva de documentos debido a que los procesos disciplinarios llevan esta condiciòn establecida en la Ley Disciplinaria
Revisiòn periodica de la coordinaciòn GRULE, de todos los documentos que se emitan dentro de una investigaciòn disciplinaria en DIGSA
OBJ. 2. Gestionar la sostenibilidad y el riesgo financiero del SSFM_Eficiencia Administrativa (Riesgo Financiero) &gt; Gestión Jurídica &gt; Monitorear los indicadores de la defensa Jurídica (DIGSA-DISAN - JEFSA)_GRULE</t>
  </si>
  <si>
    <t>El Coordinador del Grupo Asuntos Legales realiza la revisiòn formato de reserva documental, con el fin de establecer el responsable de los expedientes disciplinarios.
Iniciar procesos disciplinario por parte de la Coordinación GRULE en contral del funcionario, con el fin de establecer la falta disciplinara en la que se incurio</t>
  </si>
  <si>
    <r>
      <t xml:space="preserve">La Coordinación de Asuntos legales aplica el compromiso de confidenciabilidad para el uso y manejo de información confidencial, el cual se actualiza cada año  al personal que integra el grupo asuntos legales. </t>
    </r>
    <r>
      <rPr>
        <b/>
        <sz val="12"/>
        <color theme="1"/>
        <rFont val="Arial"/>
        <family val="2"/>
      </rPr>
      <t>Soporte de Control: Cargue de compromisos de confidenciabilidad semestralmente.</t>
    </r>
  </si>
  <si>
    <t>La Coordinación de Asuntos legales revisa los expedientes para verificar el cumplimiento de los requisitos por parte de tercesos para acceder a la informaciòn del proceso, eseeta actividad se realiza a demanda.</t>
  </si>
  <si>
    <r>
      <t xml:space="preserve">La Coordinación de Asuntos legales mantiene bajo custodia los expedientes disciplinarios, su acceso es restringido para presonal no autorizado por la coordinación,  para acceder debera allegar el poder de representación del investigado. </t>
    </r>
    <r>
      <rPr>
        <b/>
        <sz val="12"/>
        <color theme="1"/>
        <rFont val="Arial"/>
        <family val="2"/>
      </rPr>
      <t>Soporte de Control: Adjunto poderes de representaciòn trimestralmente.</t>
    </r>
  </si>
  <si>
    <t>El equipo evaluador revisa y verifica los pliegos de condiciones que cumpla con los criterios de transparencia que garantice la imparcialidad, igualdad, oportunidad y que satisfaga la necesidad requeridad por la entidad. Soportado en el informe Trimestral reuniòn adminstrativa  segumiento contractuall.</t>
  </si>
  <si>
    <r>
      <t>El responsable del grupo de contratación realiza  verificación de los estudios previos que cumpla con las expeficicaciones, tecncias, economicas y juridicas que cumpla con el proceso, registado en la plataforma secop II, para lo cual se realiza observaciones al no cumplimiento y de devuelva a la gerencia del proyecto:</t>
    </r>
    <r>
      <rPr>
        <b/>
        <sz val="12"/>
        <color theme="1"/>
        <rFont val="Arial"/>
        <family val="2"/>
      </rPr>
      <t xml:space="preserve"> Soprote de Control:  Informe Trimestral Reuniòn adminstrativa de seguimiento contractual.</t>
    </r>
  </si>
  <si>
    <t>OBJ. 4. Fortalecer y aplicar los mecanismos de control y seguimiento en la gestión del aseguramiento y la Prestación de los Servicios Mejoramiento de los Sistemas de Gestión 
El Coordinador del Grupo de Contrataciòn realiza capacitacitaciòn triemestral dirigida a los Gerentes de proyectos y supervisores y comites. Se soporta en un acta de capacitaciòn.</t>
  </si>
  <si>
    <t>El responsable del Grupo de Contrataciòn informa a los ordenadores del gastos los hallazgos o novedades, detectadas o presentadas para respectivo tramite administrativo.
El responsable del Grupo de contrataciòn, inicia los debidos procesos  con el area responsable y el personal nombrado dentro del proceso contractual.</t>
  </si>
  <si>
    <t>El Coordinador Grupo de Trabajo de Talento Humano con las Direcciones de Sanidad DISAN EJERCITO, DISAN AMARDA Y JEFSA, revisa el  Cumplimiento de la normatividad y del procedimiento de nombramientos del personal en provisionalidad y libre nombramiento y remoción, de acuerdo al plan de previsiòn de recursos humanos anual.</t>
  </si>
  <si>
    <t>La Direcciones de Sanidad DISAN EJERCITO, DISAN ARMADA, JEFSA revisan y anexan a la carpeta del aspirante la evaluaciòn de desempeño, el Coordinador Grupo de Trabajo de Talento Humano  verfica  los resultados de la evaluación de desempeño para los empleos de libre nombramiento y remociòn, que cumplan los requisitos y procede a realizar el acto administrativo de nombramiento.</t>
  </si>
  <si>
    <t xml:space="preserve">El Coordinador Grupo de Trabajo de Talento Humano y as direcciones de Sanidad DISAN EJERCITO, DISAN ARMADA, JEFSA  para los nombramientos de libre nombramiento y remoción, realiza la verificación de publicaciones de hojas de vida por parte del Ministerio de Defensa y Presidencia de la República. El Ministerio de Defensa y Presidencia para la publicación de las hojas de vida, verifican los requisitos de educación y experiencia de acuerdo al Manual de Funciones. </t>
  </si>
  <si>
    <t>El Coordinador Grupo de Trabajo de Talento Humano y Sanidad DISAN EJERCITO, DISAN ARMADA, JEFSA realiza revisiòn de requisitos y documentos, verficando de acuerdo a la lista chequeo los requistios requeridos, vs los soportes de hoja de vida de los aspirantes.  Para personal asistencial se realiza verficacion en la pagina del ministerio de salud RETHUS, para todo el personal se realiza verificaciòn en las entidades de control disciplinario.</t>
  </si>
  <si>
    <t xml:space="preserve">El Coordinador Grupo de Trabajo de Talento Humano y las direcciones de Sanidad DISAN EJECITO, DISAN ARMADA, JEFSA , para los nombramientos del personal de carrera administrativa, se realiza por concurso de méritos a traves de la Comisión Nacional del Servicio Civil, quienes verifican los requisitos de educación y experiencia de acuerdo al Manual de Funciones. </t>
  </si>
  <si>
    <r>
      <t xml:space="preserve">El Coordinador Grupo de Trabajo de Talento Humano y las direcciones de Sanidad DISAN EJECITO, DISAN ARMADA, JEFSA, revisan el concepto del estudio de seguridad con resultado favorable, el cua les desarrollado por la Dirección de inteligencia y contrainteligencia del Comando General y de cada Fuerza. </t>
    </r>
    <r>
      <rPr>
        <b/>
        <sz val="12"/>
        <color theme="1"/>
        <rFont val="Arial"/>
        <family val="2"/>
      </rPr>
      <t>Producto Control: Informe mensual de cumplimiento de requisitos de nombramientos.</t>
    </r>
  </si>
  <si>
    <t xml:space="preserve">
Las Direcciones de Sanidad Sanidad DISAN EJERCITO, DISAN ARMADA, JEFSA, informe mediante oficio a la Direcciòn General de Sanidad Militar, el incumplimiento de requisitos del asperante o funciorario, con el fin de realizar los prodecimientos administrativos requeridos.
El Coordinador Grupo de Trabajo de Talento Humano y Sanidad DISAN EJERCITO, DISAN ARMADA, JEFSA, realiza revocatoria del nombramiento de acuerdo a las causales del Decreto 1792 de 2000, mediante acto adminsitrativo justificando la revocatoria. 
El Coordinador Grupo de Trabajo de Talento Humano, solicita a la oficina de control disciplinario interno del Ministerio de Defensa, realizar apertura de investigaciòn discipllinaria  a los responsables del procesos.</t>
  </si>
  <si>
    <t xml:space="preserve"> </t>
  </si>
  <si>
    <t>OBJ. 2. Gestionar la sostenibilidad y el riesgo financiero del SSFM.
El Coordinador Grupo de Trabajo de Talento Humano y Sanidad DISAN EJERCITO, DISAN ARMADA, JEFSA, para cargos de carrera administrativa se realiza a traves de la Comisiòn nacional del servicio civil, se realiza reporte de la vancante definitiva de acuerdo a los requerimientos de la CNCS.
El Coordinador Grupo de Trabajo de Talento Humano y Sanidad DISAN EJERCITO, DISAN ARMADA, JEFSA, apoyarse en el Minsiterio de Defensa y Presidencia de la Republica, la cual publica a consideraciòn de los grupos valor e interes para sus observaciones.</t>
  </si>
  <si>
    <t>La Coordinación de Planeación realiza la verficación de las solicitudes realizadas por la DIGSA, DISAN EJC, ARC y JEFSA de recursos y verfica que esten acorde al marco de la ley 352 de 2008, y la normatividad vigente.</t>
  </si>
  <si>
    <t>El responsable de Planeación Estratégica realiza sustento técnico anual ante el ministerio de defensa y ministerio de hacienda para la distribución de los recursos, los cuales son aprobados mediante acuerdo de distribución. Soporte de Control: Decreto liquidación del presupuesto general de la nación.</t>
  </si>
  <si>
    <r>
      <t xml:space="preserve">El responsable de planeación realiza trimestralmente la actualización del Plan de adquisiciones de acuerdo a las solicitudes técnicas de las modificaciones presupuestales al plan de adquisiciones, aprobado por el Director General de la Dirección de Sanidad Militar. </t>
    </r>
    <r>
      <rPr>
        <b/>
        <sz val="12"/>
        <color theme="1"/>
        <rFont val="Arial"/>
        <family val="2"/>
      </rPr>
      <t>Soporte: Resoluciones actualización Plan de Adquisiciones.</t>
    </r>
  </si>
  <si>
    <t>OBJ. 2. Gestionar la sostenibilidad y el riesgo financiero del SSFM_Eficiencia Administrativa (Riesgo Financiero) &gt; Gestión Financiera &gt; Distribuir técnicamente los recursos del SSFM_GRUPL:
1. Asignar la UPC de acuerdo a la Adscripción establecida para cada DISAN EJC, ARC y JEFSA.
2. Presentar y Socializar los Techos Presupuestales asignados Técnicamente a la DISAN EJC, ARC y JEFSA
3. Consolidar el Plan de Compras de la DIGSA</t>
  </si>
  <si>
    <t xml:space="preserve">Investigaciones disciplinarias, fiscales y penales.
Detrimento de la imagen de la entidad ante sus grupos de valor.
Pérdida reputacional de la imagen institucional.
Detrimento de los recursos Públicos y sobrecostos.
</t>
  </si>
  <si>
    <t>Posibilidad de afectación reputacional por el uso indebido de información privilegiada y confidencial del archivo de gestión y archivo central para beneficio propio o de terceros</t>
  </si>
  <si>
    <t>Realizar afiliaciones al SSFM sin el lleno de requisitos de acuerdo a lo normatividad vigencia. Trafico de influencias para el registro de beneficiarios al Subsistema de salud de las Fuerzas Militares.</t>
  </si>
  <si>
    <t>Realizar afiliaciones al SSFM sin el lleno de requisitos de acuerdo a lo normatividad vigencia.
Trafico de influencia para el registro de beneficiarios al Subsistema de salud de las  Fuerzas Militares</t>
  </si>
  <si>
    <t xml:space="preserve">Perdida de la imagen institucional
Procesos Disciplinarios
Demandas Grupos de Valor e Interés Sanciones Entes de Control y Vigilancia
</t>
  </si>
  <si>
    <r>
      <t xml:space="preserve">El Responsable de Gestión de la Afiliación realiza permanentemente depuración de base de datos con el fin de identificar los posibles cados de afiliaciones múltiples y cumplimiento de requisitos, realizando notificación a los usuarios. </t>
    </r>
    <r>
      <rPr>
        <b/>
        <sz val="12"/>
        <color theme="1"/>
        <rFont val="Arial"/>
        <family val="2"/>
      </rPr>
      <t>Producto de Control Informe trimestral de gestión de la base de datos.</t>
    </r>
  </si>
  <si>
    <t>El secretario del Comité plan de adquisiciones convoca a reuniones mensuales para el seguimiento y actualización del Plan de adquisiciones, donde se presentará y aprobaran las actualizaciones.</t>
  </si>
  <si>
    <r>
      <t xml:space="preserve">Los auditories seleccionados para el proceso de aditoria interna al Subsistema de Salud de las Fuerzas militares deben tener previo conocimiento del proceso y del estaturo de auditoria, y en especial el correspondiente al capitulo IV Código de Etica del Auditor. Soporte del </t>
    </r>
    <r>
      <rPr>
        <b/>
        <sz val="12"/>
        <color theme="1"/>
        <rFont val="Arial"/>
        <family val="2"/>
      </rPr>
      <t>Control:  Copia de acta renión preauditoria.</t>
    </r>
  </si>
  <si>
    <t>Posibilidad de afectación reputacional  por decisiones ajustadas para favorecimiento a terceros en la no divulgación de la información real evidenciada en el proceso de auditoria.</t>
  </si>
  <si>
    <t>En la reunión previa a la auditoria se establece la normatividad vigencia aplicable SSFM.
OBJ. 4. Fortalecer y aplicar los mecanismos de control y seguimiento en la gestión del aseguramiento y la Prestación de los Servicios Mejoramiento de los Sistemas de Gestión</t>
  </si>
  <si>
    <t xml:space="preserve"> Acción u
omisión, donde se usa el poder para
desviar la gestión de lo público
hacia un beneficio privado..</t>
  </si>
  <si>
    <t>1.1. El Servidor Público tiene interés particular y directo en su regulación, gestión, control o decisión, o lo tuviere su cónyuge, compañero o compañera 
permanente, o algunos de sus parientes dentro del cuarto grado de consanguinidad, segundo de afinidad o primero civil, o su socio o socios de hecho o de derecho.
2. El servidor Público presenta alguna de las causales de impedimento  contemplado en el articulo 11 de la ley 1437 de 2011 y y no es declarado por él.</t>
  </si>
  <si>
    <t xml:space="preserve">
Beneficio especial, particular y concreto a favor de un Servidor Público o de su compañero o compañera permanente, o algunos de sus parientes dentro del cuarto grado de consanguinidad, segundo de afinidad o primero civil, o de un socio o socios de hecho o de derecho y además no manifiesta el impedimento, tal como lo establece la Guía para la Gestión de Conflicto de Intereses DIGSA.</t>
  </si>
  <si>
    <t xml:space="preserve">El responsable de la Política de Integridad, semestralmente socializa a los Servidores Públicos de la Dirección General de Sanidad Militar, en la identificación, declaración y gestión de posibles conflictos de intereses. Soporte del control: Actas de Inducción y Reinducción. Actas. </t>
  </si>
  <si>
    <t>El responsable de la Política de Integridad socializa con el personal de la Dirección General de Sanidad Militar semestralmente, el procedimiento interno para el manejo y declaración de conflictos de intereses. Soporte del control: Actas de socialización.</t>
  </si>
  <si>
    <t xml:space="preserve">El responsable de la Política Integridad, solicita al personal de la Dirección General de Sanidad Militar certificarse el "Curso virtual de Integridad, Transparencia y Lucha contra la Corrupción" del Departamento Administrativo de la Función Pública y realiza seguimiento semestral del cumplimento de la actividad. Soporte de control: Informe trabajadores certificados en el  "Curso de integridad, transparencia y lucha contra la corrupción” DIGSA Semestral, e Indicador Porcentaje de trabajadores certificados  por el  "Curso de integridad, transparencia y lucha contra la corrupción” DIGSA en la Suite vision Empresarial 
</t>
  </si>
  <si>
    <t>Los responsables en las oficinas de Talento Humano de las Direcciones de Sanidad y de la Direccion General de Sanidad Militar solicita a los aspirantes del nivel Directivo para su nombramiento el diligenciamiento del formato de conflicto de intereses y el soporte del cargue en la plataforma de la Función Pública, se realiza en el momento de cambios de Directivos. El formato hace parte del folio de vida del Servidor Público.</t>
  </si>
  <si>
    <t xml:space="preserve">OBJ. 2. Gestionar la sostenibilidad y el riesgo financiero del SSFM.
Seguimiento Semestral a la declaraciòn de conflicto de intereses y recusaciones recibidas a traves de la pagina institucional.
Elaboraciòn Plan de Acciòn de Integridad 2023 - 2026, y socializaciòn.
</t>
  </si>
  <si>
    <t xml:space="preserve">
Cuando un Servidor Público identifica que se encuentra en una situación de conflicto de intereses, deberá dentro de los tres (3) días siguientes a su conocimiento la situación declarar el conflicto de intereses ante el superior jerárquico para lo cual puede utilizar los formatos de declaración de conflictos de intereses, establecidos en la Guía para la Gestión de Conflicto de Intereses DIGSA, que se encuentran publicados en página web institucional, y a su vez, en el canal de comunicación interna establecido (Intranet) para declarar el impedimento por estar en una situación de conflicto de intereses. En caso de no tener jefe o superior inmediato, debe presentar la declaración ante el Representante Legal de la entidad. Dentro de los diez (10) días siguientes a la fecha de recibido el escrito en mención, la autoridad competente deberá decidir si acepta o no el impedimento. En caso de que se acepte que hay conflicto, deberá, además, determinar el Servidor Público que se encargará de asumir, en remplazo, la regulación, gestión, control o decisión de la situación que generó el conflicto de intereses.</t>
  </si>
  <si>
    <r>
      <t xml:space="preserve">
Posibilidad de pérdida reputacional por procesos disciplinarios debido a conflicto de interés del Servidor Público que influye en el cumplimiento de funciones.
</t>
    </r>
    <r>
      <rPr>
        <sz val="12"/>
        <color rgb="FFFF0000"/>
        <rFont val="Arial"/>
        <family val="2"/>
      </rPr>
      <t xml:space="preserve">
</t>
    </r>
  </si>
  <si>
    <t xml:space="preserve">Posibilidad afectación reputacional debido al uso indebido de información confidencial  registrada en los aplicativos y Base Datos de Afiliados SSFM para beneficio propio o de terceros.
</t>
  </si>
  <si>
    <r>
      <t xml:space="preserve">Posibilidad de afectación reputacional por  traficos de Influencias para el nombramiento de personal en cargos de libre nombramiento y remosion y/o provisionalidad.
</t>
    </r>
    <r>
      <rPr>
        <sz val="12"/>
        <color rgb="FFFF0000"/>
        <rFont val="Arial"/>
        <family val="2"/>
      </rPr>
      <t>.</t>
    </r>
  </si>
  <si>
    <r>
      <t xml:space="preserve">Posiblidad de afectaciòn  reputacional  debido a la perdida de la reserva legal en los procesos disciplinarios por el uso inadecuado de información confidencial para beneficio propio o de treceros.
</t>
    </r>
    <r>
      <rPr>
        <sz val="12"/>
        <color rgb="FFFF0000"/>
        <rFont val="Arial"/>
        <family val="2"/>
      </rPr>
      <t/>
    </r>
  </si>
  <si>
    <t xml:space="preserve">Posibilidad de afectaciòn recibir o solicitar cualquier dádiva o beneficio debido a  la alteración o modificación  de la información relacionada en: estudios previos, pliego de condiciones, en adendas al pliego de condiciones o en evaluaciones de las propuestas, para favorecimiento propio o beneficio  de terceros.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</si>
</sst>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4"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name val="Arial"/>
      <family val="2"/>
    </font>
    <font>
      <sz val="11"/>
      <color theme="1"/>
      <name val="Arial"/>
      <family val="2"/>
    </font>
    <font>
      <sz val="22"/>
      <color theme="1"/>
      <name val="Arial"/>
      <family val="2"/>
    </font>
    <font>
      <sz val="10"/>
      <color theme="1"/>
      <name val="Arial"/>
      <family val="2"/>
    </font>
    <font>
      <b/>
      <sz val="11"/>
      <color theme="9" tint="-0.249977111117893"/>
      <name val="Arial"/>
      <family val="2"/>
    </font>
    <font>
      <sz val="8"/>
      <color theme="1"/>
      <name val="Arial"/>
      <family val="2"/>
    </font>
    <font>
      <sz val="9"/>
      <color theme="1"/>
      <name val="Arial"/>
      <family val="2"/>
    </font>
    <font>
      <sz val="9"/>
      <color rgb="FFFFFFFF"/>
      <name val="Arial"/>
      <family val="2"/>
    </font>
    <font>
      <sz val="9"/>
      <color rgb="FF000000"/>
      <name val="Arial"/>
      <family val="2"/>
    </font>
    <font>
      <b/>
      <sz val="12"/>
      <color theme="1"/>
      <name val="Arial"/>
      <family val="2"/>
    </font>
    <font>
      <sz val="8"/>
      <name val="Arial"/>
      <family val="2"/>
    </font>
    <font>
      <sz val="9"/>
      <name val="Arial"/>
      <family val="2"/>
    </font>
    <font>
      <sz val="11"/>
      <color rgb="FF0070C0"/>
      <name val="Arial"/>
      <family val="2"/>
    </font>
    <font>
      <sz val="12"/>
      <color theme="1"/>
      <name val="Arial"/>
      <family val="2"/>
    </font>
    <font>
      <sz val="12"/>
      <name val="Arial"/>
      <family val="2"/>
    </font>
    <font>
      <sz val="12"/>
      <color theme="9" tint="-0.249977111117893"/>
      <name val="Arial"/>
      <family val="2"/>
    </font>
    <font>
      <u/>
      <sz val="12"/>
      <name val="Arial"/>
      <family val="2"/>
    </font>
    <font>
      <sz val="16"/>
      <name val="Arial"/>
      <family val="2"/>
    </font>
    <font>
      <sz val="12"/>
      <color rgb="FFFF0000"/>
      <name val="Arial"/>
      <family val="2"/>
    </font>
  </fonts>
  <fills count="20">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91">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thin">
        <color auto="1"/>
      </left>
      <right/>
      <top/>
      <bottom style="thin">
        <color auto="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style="dashed">
        <color theme="1"/>
      </bottom>
      <diagonal/>
    </border>
    <border>
      <left style="dashed">
        <color theme="1"/>
      </left>
      <right style="dashed">
        <color theme="1"/>
      </right>
      <top/>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right style="medium">
        <color rgb="FF00B0F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ashed">
        <color theme="1"/>
      </left>
      <right/>
      <top/>
      <bottom/>
      <diagonal/>
    </border>
    <border>
      <left style="dashed">
        <color theme="1"/>
      </left>
      <right/>
      <top/>
      <bottom style="dashed">
        <color theme="1"/>
      </bottom>
      <diagonal/>
    </border>
    <border>
      <left/>
      <right/>
      <top/>
      <bottom style="dashed">
        <color theme="1"/>
      </bottom>
      <diagonal/>
    </border>
    <border>
      <left style="dotted">
        <color theme="1"/>
      </left>
      <right style="dotted">
        <color theme="1"/>
      </right>
      <top style="dotted">
        <color theme="1"/>
      </top>
      <bottom style="dotted">
        <color theme="1"/>
      </bottom>
      <diagonal/>
    </border>
    <border>
      <left style="dashed">
        <color theme="4" tint="-0.24994659260841701"/>
      </left>
      <right style="dashed">
        <color theme="4" tint="-0.24994659260841701"/>
      </right>
      <top/>
      <bottom style="dashed">
        <color theme="4" tint="-0.24994659260841701"/>
      </bottom>
      <diagonal/>
    </border>
  </borders>
  <cellStyleXfs count="6">
    <xf numFmtId="0" fontId="0" fillId="0" borderId="0"/>
    <xf numFmtId="9" fontId="12" fillId="0" borderId="0" applyFont="0" applyFill="0" applyBorder="0" applyAlignment="0" applyProtection="0"/>
    <xf numFmtId="0" fontId="44" fillId="0" borderId="0"/>
    <xf numFmtId="0" fontId="45" fillId="0" borderId="0"/>
    <xf numFmtId="0" fontId="4" fillId="0" borderId="0"/>
    <xf numFmtId="0" fontId="44" fillId="0" borderId="0"/>
  </cellStyleXfs>
  <cellXfs count="557">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5" borderId="0" xfId="0" applyFont="1" applyFill="1" applyAlignment="1">
      <alignment horizontal="center" vertical="center" wrapText="1" readingOrder="1"/>
    </xf>
    <xf numFmtId="0" fontId="8" fillId="4"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5" borderId="0" xfId="0" applyFont="1" applyFill="1" applyAlignment="1">
      <alignment horizontal="center" vertical="center" wrapText="1" readingOrder="1"/>
    </xf>
    <xf numFmtId="0" fontId="30" fillId="0" borderId="4"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4" borderId="4"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0" fillId="0" borderId="4"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0" borderId="5" xfId="0" applyFont="1" applyFill="1" applyBorder="1" applyAlignment="1" applyProtection="1">
      <alignment horizontal="center" vertical="center" wrapText="1" readingOrder="1"/>
      <protection hidden="1"/>
    </xf>
    <xf numFmtId="0" fontId="17" fillId="10" borderId="12" xfId="0" applyFont="1" applyFill="1" applyBorder="1" applyAlignment="1" applyProtection="1">
      <alignment horizontal="center" vertical="center" wrapText="1" readingOrder="1"/>
      <protection hidden="1"/>
    </xf>
    <xf numFmtId="0" fontId="17" fillId="10" borderId="6" xfId="0" applyFont="1" applyFill="1" applyBorder="1" applyAlignment="1" applyProtection="1">
      <alignment horizontal="center" vertical="center" wrapText="1" readingOrder="1"/>
      <protection hidden="1"/>
    </xf>
    <xf numFmtId="0" fontId="17" fillId="11" borderId="5" xfId="0" applyFont="1" applyFill="1" applyBorder="1" applyAlignment="1" applyProtection="1">
      <alignment horizontal="center" wrapText="1" readingOrder="1"/>
      <protection hidden="1"/>
    </xf>
    <xf numFmtId="0" fontId="17" fillId="11" borderId="12" xfId="0" applyFont="1" applyFill="1" applyBorder="1" applyAlignment="1" applyProtection="1">
      <alignment horizontal="center" wrapText="1" readingOrder="1"/>
      <protection hidden="1"/>
    </xf>
    <xf numFmtId="0" fontId="17" fillId="11" borderId="6" xfId="0" applyFont="1" applyFill="1" applyBorder="1" applyAlignment="1" applyProtection="1">
      <alignment horizontal="center" wrapText="1" readingOrder="1"/>
      <protection hidden="1"/>
    </xf>
    <xf numFmtId="0" fontId="17" fillId="10" borderId="7" xfId="0" applyFont="1" applyFill="1" applyBorder="1" applyAlignment="1" applyProtection="1">
      <alignment horizontal="center" vertical="center" wrapText="1" readingOrder="1"/>
      <protection hidden="1"/>
    </xf>
    <xf numFmtId="0" fontId="17" fillId="10" borderId="0" xfId="0" applyFont="1" applyFill="1" applyAlignment="1" applyProtection="1">
      <alignment horizontal="center" vertical="center" wrapText="1" readingOrder="1"/>
      <protection hidden="1"/>
    </xf>
    <xf numFmtId="0" fontId="17" fillId="10" borderId="8" xfId="0" applyFont="1" applyFill="1" applyBorder="1" applyAlignment="1" applyProtection="1">
      <alignment horizontal="center" vertical="center" wrapText="1" readingOrder="1"/>
      <protection hidden="1"/>
    </xf>
    <xf numFmtId="0" fontId="17" fillId="11" borderId="7" xfId="0" applyFont="1" applyFill="1" applyBorder="1" applyAlignment="1" applyProtection="1">
      <alignment horizontal="center" wrapText="1" readingOrder="1"/>
      <protection hidden="1"/>
    </xf>
    <xf numFmtId="0" fontId="17" fillId="11" borderId="0" xfId="0" applyFont="1" applyFill="1" applyAlignment="1" applyProtection="1">
      <alignment horizontal="center" wrapText="1" readingOrder="1"/>
      <protection hidden="1"/>
    </xf>
    <xf numFmtId="0" fontId="17" fillId="11" borderId="8" xfId="0" applyFont="1" applyFill="1" applyBorder="1" applyAlignment="1" applyProtection="1">
      <alignment horizontal="center" wrapText="1" readingOrder="1"/>
      <protection hidden="1"/>
    </xf>
    <xf numFmtId="0" fontId="17" fillId="10" borderId="9" xfId="0" applyFont="1" applyFill="1" applyBorder="1" applyAlignment="1" applyProtection="1">
      <alignment horizontal="center" vertical="center" wrapText="1" readingOrder="1"/>
      <protection hidden="1"/>
    </xf>
    <xf numFmtId="0" fontId="17" fillId="10" borderId="11" xfId="0" applyFont="1" applyFill="1" applyBorder="1" applyAlignment="1" applyProtection="1">
      <alignment horizontal="center" vertical="center" wrapText="1" readingOrder="1"/>
      <protection hidden="1"/>
    </xf>
    <xf numFmtId="0" fontId="17" fillId="10" borderId="10" xfId="0" applyFont="1" applyFill="1" applyBorder="1" applyAlignment="1" applyProtection="1">
      <alignment horizontal="center" vertical="center" wrapText="1" readingOrder="1"/>
      <protection hidden="1"/>
    </xf>
    <xf numFmtId="0" fontId="17" fillId="11" borderId="9" xfId="0" applyFont="1" applyFill="1" applyBorder="1" applyAlignment="1" applyProtection="1">
      <alignment horizontal="center" wrapText="1" readingOrder="1"/>
      <protection hidden="1"/>
    </xf>
    <xf numFmtId="0" fontId="17" fillId="11" borderId="11" xfId="0" applyFont="1" applyFill="1" applyBorder="1" applyAlignment="1" applyProtection="1">
      <alignment horizontal="center" wrapText="1" readingOrder="1"/>
      <protection hidden="1"/>
    </xf>
    <xf numFmtId="0" fontId="17" fillId="11" borderId="10" xfId="0" applyFont="1" applyFill="1" applyBorder="1" applyAlignment="1" applyProtection="1">
      <alignment horizont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4" borderId="5" xfId="0" applyFont="1" applyFill="1" applyBorder="1" applyAlignment="1" applyProtection="1">
      <alignment horizontal="center" wrapText="1" readingOrder="1"/>
      <protection hidden="1"/>
    </xf>
    <xf numFmtId="0" fontId="17" fillId="4" borderId="12" xfId="0" applyFont="1" applyFill="1" applyBorder="1" applyAlignment="1" applyProtection="1">
      <alignment horizontal="center" wrapText="1" readingOrder="1"/>
      <protection hidden="1"/>
    </xf>
    <xf numFmtId="0" fontId="17" fillId="4" borderId="6" xfId="0" applyFont="1" applyFill="1" applyBorder="1" applyAlignment="1" applyProtection="1">
      <alignment horizontal="center" wrapText="1" readingOrder="1"/>
      <protection hidden="1"/>
    </xf>
    <xf numFmtId="0" fontId="17" fillId="4" borderId="7" xfId="0" applyFont="1" applyFill="1" applyBorder="1" applyAlignment="1" applyProtection="1">
      <alignment horizontal="center" wrapText="1" readingOrder="1"/>
      <protection hidden="1"/>
    </xf>
    <xf numFmtId="0" fontId="17" fillId="4" borderId="0" xfId="0" applyFont="1" applyFill="1" applyAlignment="1" applyProtection="1">
      <alignment horizontal="center" wrapText="1" readingOrder="1"/>
      <protection hidden="1"/>
    </xf>
    <xf numFmtId="0" fontId="17" fillId="4" borderId="8" xfId="0" applyFont="1" applyFill="1" applyBorder="1" applyAlignment="1" applyProtection="1">
      <alignment horizontal="center" wrapText="1" readingOrder="1"/>
      <protection hidden="1"/>
    </xf>
    <xf numFmtId="0" fontId="17" fillId="4" borderId="9" xfId="0" applyFont="1" applyFill="1" applyBorder="1" applyAlignment="1" applyProtection="1">
      <alignment horizontal="center" wrapText="1" readingOrder="1"/>
      <protection hidden="1"/>
    </xf>
    <xf numFmtId="0" fontId="17" fillId="4" borderId="11" xfId="0" applyFont="1" applyFill="1" applyBorder="1" applyAlignment="1" applyProtection="1">
      <alignment horizontal="center" wrapText="1" readingOrder="1"/>
      <protection hidden="1"/>
    </xf>
    <xf numFmtId="0" fontId="17" fillId="4" borderId="10"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0" fillId="2" borderId="0" xfId="0" applyFill="1"/>
    <xf numFmtId="0" fontId="46" fillId="2" borderId="41" xfId="2" applyFont="1" applyFill="1" applyBorder="1"/>
    <xf numFmtId="0" fontId="46" fillId="2" borderId="42" xfId="2" applyFont="1" applyFill="1" applyBorder="1"/>
    <xf numFmtId="0" fontId="46" fillId="2" borderId="43" xfId="2" applyFont="1" applyFill="1" applyBorder="1"/>
    <xf numFmtId="0" fontId="14" fillId="2" borderId="0" xfId="0" applyFont="1" applyFill="1" applyAlignment="1">
      <alignment vertical="center"/>
    </xf>
    <xf numFmtId="0" fontId="4" fillId="2" borderId="0" xfId="0" applyFont="1" applyFill="1"/>
    <xf numFmtId="0" fontId="33" fillId="2" borderId="0" xfId="0" applyFont="1" applyFill="1"/>
    <xf numFmtId="0" fontId="34" fillId="2" borderId="24" xfId="0" applyFont="1" applyFill="1" applyBorder="1" applyAlignment="1">
      <alignment horizontal="center" vertical="center" wrapText="1" readingOrder="1"/>
    </xf>
    <xf numFmtId="0" fontId="35" fillId="2" borderId="24" xfId="0" applyFont="1" applyFill="1" applyBorder="1" applyAlignment="1">
      <alignment horizontal="justify" vertical="center" wrapText="1" readingOrder="1"/>
    </xf>
    <xf numFmtId="9" fontId="34" fillId="2" borderId="33" xfId="0" applyNumberFormat="1"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5" fillId="2" borderId="23" xfId="0" applyFont="1" applyFill="1" applyBorder="1" applyAlignment="1">
      <alignment horizontal="justify" vertical="center" wrapText="1" readingOrder="1"/>
    </xf>
    <xf numFmtId="9" fontId="34" fillId="2" borderId="28" xfId="0" applyNumberFormat="1" applyFont="1" applyFill="1" applyBorder="1" applyAlignment="1">
      <alignment horizontal="center" vertical="center" wrapText="1" readingOrder="1"/>
    </xf>
    <xf numFmtId="0" fontId="35" fillId="2" borderId="28"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35" fillId="2" borderId="30" xfId="0" applyFont="1" applyFill="1" applyBorder="1" applyAlignment="1">
      <alignment horizontal="justify" vertical="center" wrapText="1" readingOrder="1"/>
    </xf>
    <xf numFmtId="0" fontId="35" fillId="2" borderId="31" xfId="0" applyFont="1" applyFill="1" applyBorder="1" applyAlignment="1">
      <alignment horizontal="center" vertical="center" wrapText="1" readingOrder="1"/>
    </xf>
    <xf numFmtId="0" fontId="43" fillId="2" borderId="0" xfId="0" applyFont="1" applyFill="1"/>
    <xf numFmtId="0" fontId="34" fillId="14" borderId="35" xfId="0" applyFont="1" applyFill="1" applyBorder="1" applyAlignment="1">
      <alignment horizontal="center" vertical="center" wrapText="1" readingOrder="1"/>
    </xf>
    <xf numFmtId="0" fontId="34" fillId="14" borderId="36" xfId="0" applyFont="1" applyFill="1" applyBorder="1" applyAlignment="1">
      <alignment horizontal="center" vertical="center" wrapText="1" readingOrder="1"/>
    </xf>
    <xf numFmtId="0" fontId="11" fillId="2" borderId="0" xfId="0" applyFont="1" applyFill="1"/>
    <xf numFmtId="0" fontId="28" fillId="2" borderId="0" xfId="0" applyFont="1" applyFill="1" applyAlignment="1">
      <alignment horizontal="center" vertical="center" wrapText="1"/>
    </xf>
    <xf numFmtId="0" fontId="10" fillId="2" borderId="0" xfId="0" applyFont="1" applyFill="1" applyAlignment="1">
      <alignment horizontal="justify" vertical="center" wrapText="1" readingOrder="1"/>
    </xf>
    <xf numFmtId="0" fontId="3" fillId="2" borderId="0" xfId="0" applyFont="1" applyFill="1" applyAlignment="1">
      <alignment vertical="center"/>
    </xf>
    <xf numFmtId="0" fontId="13" fillId="2" borderId="0" xfId="0" applyFont="1" applyFill="1"/>
    <xf numFmtId="0" fontId="3" fillId="2" borderId="0" xfId="0" applyFont="1" applyFill="1" applyAlignment="1">
      <alignment horizontal="left" vertical="center"/>
    </xf>
    <xf numFmtId="0" fontId="46" fillId="2" borderId="7" xfId="2" applyFont="1" applyFill="1" applyBorder="1"/>
    <xf numFmtId="0" fontId="51" fillId="2" borderId="0" xfId="0" applyFont="1" applyFill="1" applyAlignment="1">
      <alignment horizontal="left" vertical="center" wrapText="1"/>
    </xf>
    <xf numFmtId="0" fontId="52" fillId="2" borderId="0" xfId="0" applyFont="1" applyFill="1" applyAlignment="1">
      <alignment horizontal="left" vertical="top" wrapText="1"/>
    </xf>
    <xf numFmtId="0" fontId="46" fillId="2" borderId="0" xfId="2" applyFont="1" applyFill="1"/>
    <xf numFmtId="0" fontId="46" fillId="2" borderId="8" xfId="2" applyFont="1" applyFill="1" applyBorder="1"/>
    <xf numFmtId="0" fontId="46" fillId="2" borderId="9" xfId="2" applyFont="1" applyFill="1" applyBorder="1"/>
    <xf numFmtId="0" fontId="46" fillId="2" borderId="11" xfId="2" applyFont="1" applyFill="1" applyBorder="1"/>
    <xf numFmtId="0" fontId="46" fillId="2" borderId="10" xfId="2" applyFont="1" applyFill="1" applyBorder="1"/>
    <xf numFmtId="0" fontId="50" fillId="2" borderId="0" xfId="2" applyFont="1" applyFill="1" applyAlignment="1">
      <alignment horizontal="left" vertical="center" wrapText="1"/>
    </xf>
    <xf numFmtId="0" fontId="46" fillId="2" borderId="0" xfId="2" applyFont="1" applyFill="1" applyAlignment="1">
      <alignment horizontal="left" vertical="center" wrapText="1"/>
    </xf>
    <xf numFmtId="0" fontId="46" fillId="2" borderId="0" xfId="2" quotePrefix="1" applyFont="1" applyFill="1" applyAlignment="1">
      <alignment horizontal="left" vertical="center" wrapText="1"/>
    </xf>
    <xf numFmtId="0" fontId="48" fillId="2" borderId="7" xfId="2" quotePrefix="1" applyFont="1" applyFill="1" applyBorder="1" applyAlignment="1">
      <alignment horizontal="left" vertical="top" wrapText="1"/>
    </xf>
    <xf numFmtId="0" fontId="49" fillId="2" borderId="0" xfId="2" quotePrefix="1" applyFont="1" applyFill="1" applyAlignment="1">
      <alignment horizontal="left" vertical="top" wrapText="1"/>
    </xf>
    <xf numFmtId="0" fontId="49" fillId="2" borderId="8" xfId="2" quotePrefix="1" applyFont="1" applyFill="1" applyBorder="1" applyAlignment="1">
      <alignment horizontal="left" vertical="top" wrapText="1"/>
    </xf>
    <xf numFmtId="0" fontId="56" fillId="0" borderId="0" xfId="0" applyFont="1"/>
    <xf numFmtId="0" fontId="56" fillId="2" borderId="0" xfId="0" applyFont="1" applyFill="1"/>
    <xf numFmtId="0" fontId="56" fillId="2" borderId="0" xfId="0" applyFont="1" applyFill="1" applyAlignment="1">
      <alignment horizontal="center" vertical="center"/>
    </xf>
    <xf numFmtId="0" fontId="56" fillId="2" borderId="0" xfId="0" applyFont="1" applyFill="1" applyAlignment="1">
      <alignment horizontal="left" vertical="center"/>
    </xf>
    <xf numFmtId="0" fontId="56" fillId="2" borderId="0" xfId="0" applyFont="1" applyFill="1" applyAlignment="1">
      <alignment horizontal="center"/>
    </xf>
    <xf numFmtId="0" fontId="56" fillId="0" borderId="0" xfId="0" applyFont="1" applyAlignment="1">
      <alignment vertical="center"/>
    </xf>
    <xf numFmtId="0" fontId="56" fillId="0" borderId="3" xfId="0" applyFont="1" applyBorder="1" applyAlignment="1">
      <alignment horizontal="center" vertical="center"/>
    </xf>
    <xf numFmtId="0" fontId="56" fillId="0" borderId="2" xfId="0" applyFont="1" applyBorder="1" applyAlignment="1">
      <alignment horizontal="center" vertical="center"/>
    </xf>
    <xf numFmtId="0" fontId="56" fillId="0" borderId="0" xfId="0" applyFont="1" applyAlignment="1">
      <alignment horizontal="center" vertical="center"/>
    </xf>
    <xf numFmtId="0" fontId="56" fillId="0" borderId="0" xfId="0" applyFont="1" applyAlignment="1">
      <alignment horizontal="center"/>
    </xf>
    <xf numFmtId="0" fontId="60" fillId="0" borderId="0" xfId="0" applyFont="1" applyAlignment="1">
      <alignment horizontal="left" vertical="center"/>
    </xf>
    <xf numFmtId="0" fontId="56" fillId="2" borderId="0" xfId="0" applyFont="1" applyFill="1" applyAlignment="1">
      <alignment vertical="center"/>
    </xf>
    <xf numFmtId="0" fontId="58" fillId="0" borderId="71" xfId="0" applyFont="1" applyBorder="1" applyAlignment="1">
      <alignment horizontal="justify" vertical="center" wrapText="1"/>
    </xf>
    <xf numFmtId="0" fontId="62" fillId="15" borderId="75" xfId="0" applyFont="1" applyFill="1" applyBorder="1" applyAlignment="1">
      <alignment horizontal="center" vertical="center"/>
    </xf>
    <xf numFmtId="0" fontId="62" fillId="15" borderId="76" xfId="0" applyFont="1" applyFill="1" applyBorder="1" applyAlignment="1">
      <alignment horizontal="center" vertical="center"/>
    </xf>
    <xf numFmtId="0" fontId="63" fillId="0" borderId="75" xfId="0" applyFont="1" applyBorder="1" applyAlignment="1">
      <alignment horizontal="center" vertical="center"/>
    </xf>
    <xf numFmtId="0" fontId="63" fillId="0" borderId="76" xfId="0" applyFont="1" applyBorder="1" applyAlignment="1">
      <alignment vertical="center"/>
    </xf>
    <xf numFmtId="0" fontId="63" fillId="0" borderId="76" xfId="0" applyFont="1" applyBorder="1" applyAlignment="1">
      <alignment horizontal="center" vertical="center"/>
    </xf>
    <xf numFmtId="0" fontId="63" fillId="0" borderId="76" xfId="0" applyFont="1" applyBorder="1" applyAlignment="1">
      <alignment vertical="center" wrapText="1"/>
    </xf>
    <xf numFmtId="0" fontId="63" fillId="0" borderId="72" xfId="0" applyFont="1" applyBorder="1" applyAlignment="1">
      <alignment horizontal="center" vertical="center"/>
    </xf>
    <xf numFmtId="0" fontId="63" fillId="0" borderId="74" xfId="0" applyFont="1" applyBorder="1" applyAlignment="1">
      <alignment horizontal="center" vertical="center"/>
    </xf>
    <xf numFmtId="0" fontId="62" fillId="16" borderId="77" xfId="0" applyFont="1" applyFill="1" applyBorder="1" applyAlignment="1">
      <alignment horizontal="center" vertical="center" wrapText="1"/>
    </xf>
    <xf numFmtId="0" fontId="62" fillId="16" borderId="10" xfId="0" applyFont="1" applyFill="1" applyBorder="1" applyAlignment="1">
      <alignment horizontal="center" vertical="center" wrapText="1"/>
    </xf>
    <xf numFmtId="0" fontId="63" fillId="0" borderId="77" xfId="0" applyFont="1" applyBorder="1" applyAlignment="1">
      <alignment vertical="center"/>
    </xf>
    <xf numFmtId="0" fontId="63" fillId="0" borderId="10" xfId="0" applyFont="1" applyBorder="1" applyAlignment="1">
      <alignment vertical="center"/>
    </xf>
    <xf numFmtId="0" fontId="63" fillId="12" borderId="10"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63" fillId="8" borderId="10" xfId="0" applyFont="1" applyFill="1" applyBorder="1" applyAlignment="1">
      <alignment horizontal="center" vertical="center" wrapText="1"/>
    </xf>
    <xf numFmtId="0" fontId="56" fillId="2" borderId="0" xfId="0" applyFont="1" applyFill="1" applyAlignment="1">
      <alignment horizontal="center" vertical="center" wrapText="1"/>
    </xf>
    <xf numFmtId="0" fontId="56" fillId="0" borderId="2"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wrapText="1"/>
    </xf>
    <xf numFmtId="0" fontId="56" fillId="2" borderId="0" xfId="0" applyFont="1" applyFill="1" applyAlignment="1">
      <alignment vertical="center" wrapText="1"/>
    </xf>
    <xf numFmtId="0" fontId="56" fillId="0" borderId="0" xfId="0" applyFont="1" applyAlignment="1">
      <alignment vertical="center" wrapText="1"/>
    </xf>
    <xf numFmtId="0" fontId="58" fillId="0" borderId="78" xfId="0" applyFont="1" applyBorder="1" applyAlignment="1">
      <alignment horizontal="justify" vertical="center" wrapText="1"/>
    </xf>
    <xf numFmtId="0" fontId="64" fillId="0" borderId="0" xfId="0" applyFont="1"/>
    <xf numFmtId="0" fontId="55" fillId="0" borderId="23" xfId="5" applyFont="1" applyBorder="1" applyAlignment="1">
      <alignment horizontal="center" vertical="center" wrapText="1"/>
    </xf>
    <xf numFmtId="0" fontId="56" fillId="0" borderId="23" xfId="5" applyFont="1" applyBorder="1" applyAlignment="1">
      <alignment horizontal="center" vertical="center" wrapText="1"/>
    </xf>
    <xf numFmtId="0" fontId="56" fillId="2" borderId="23" xfId="5" applyFont="1" applyFill="1" applyBorder="1" applyAlignment="1">
      <alignment horizontal="center" vertical="center" wrapText="1"/>
    </xf>
    <xf numFmtId="0" fontId="44" fillId="0" borderId="66" xfId="5" applyBorder="1" applyAlignment="1">
      <alignment horizontal="center" vertical="center"/>
    </xf>
    <xf numFmtId="0" fontId="68" fillId="2" borderId="0" xfId="0" applyFont="1" applyFill="1"/>
    <xf numFmtId="0" fontId="69" fillId="2" borderId="41" xfId="2" applyFont="1" applyFill="1" applyBorder="1"/>
    <xf numFmtId="0" fontId="69" fillId="2" borderId="42" xfId="2" applyFont="1" applyFill="1" applyBorder="1"/>
    <xf numFmtId="0" fontId="69" fillId="2" borderId="43" xfId="2" applyFont="1" applyFill="1" applyBorder="1"/>
    <xf numFmtId="0" fontId="71" fillId="2" borderId="7" xfId="2" quotePrefix="1" applyFont="1" applyFill="1" applyBorder="1" applyAlignment="1">
      <alignment horizontal="left" vertical="top" wrapText="1"/>
    </xf>
    <xf numFmtId="0" fontId="69" fillId="2" borderId="0" xfId="2" quotePrefix="1" applyFont="1" applyFill="1" applyAlignment="1">
      <alignment horizontal="left" vertical="top" wrapText="1"/>
    </xf>
    <xf numFmtId="0" fontId="69" fillId="2" borderId="8" xfId="2" quotePrefix="1" applyFont="1" applyFill="1" applyBorder="1" applyAlignment="1">
      <alignment horizontal="left" vertical="top" wrapText="1"/>
    </xf>
    <xf numFmtId="0" fontId="69" fillId="2" borderId="7" xfId="2" applyFont="1" applyFill="1" applyBorder="1"/>
    <xf numFmtId="0" fontId="69" fillId="2" borderId="0" xfId="2" applyFont="1" applyFill="1"/>
    <xf numFmtId="0" fontId="69" fillId="2" borderId="0" xfId="2" applyFont="1" applyFill="1" applyAlignment="1">
      <alignment horizontal="left" vertical="center" wrapText="1"/>
    </xf>
    <xf numFmtId="0" fontId="69" fillId="2" borderId="0" xfId="2" quotePrefix="1" applyFont="1" applyFill="1" applyAlignment="1">
      <alignment horizontal="left" vertical="center" wrapText="1"/>
    </xf>
    <xf numFmtId="0" fontId="69" fillId="2" borderId="8" xfId="2" applyFont="1" applyFill="1" applyBorder="1"/>
    <xf numFmtId="0" fontId="69" fillId="2" borderId="0" xfId="0" applyFont="1" applyFill="1" applyAlignment="1">
      <alignment horizontal="left" vertical="center" wrapText="1"/>
    </xf>
    <xf numFmtId="0" fontId="69" fillId="2" borderId="0" xfId="0" applyFont="1" applyFill="1" applyAlignment="1">
      <alignment horizontal="left" vertical="top" wrapText="1"/>
    </xf>
    <xf numFmtId="0" fontId="69" fillId="2" borderId="9" xfId="2" applyFont="1" applyFill="1" applyBorder="1"/>
    <xf numFmtId="0" fontId="69" fillId="2" borderId="11" xfId="2" applyFont="1" applyFill="1" applyBorder="1"/>
    <xf numFmtId="0" fontId="69" fillId="2" borderId="10" xfId="2" applyFont="1" applyFill="1" applyBorder="1"/>
    <xf numFmtId="0" fontId="68" fillId="2" borderId="0" xfId="0" applyFont="1" applyFill="1" applyAlignment="1">
      <alignment vertical="center" wrapText="1"/>
    </xf>
    <xf numFmtId="0" fontId="68" fillId="2" borderId="0" xfId="0" applyFont="1" applyFill="1" applyAlignment="1">
      <alignment horizontal="center" vertical="center" wrapText="1"/>
    </xf>
    <xf numFmtId="0" fontId="68" fillId="2" borderId="0" xfId="0" applyFont="1" applyFill="1" applyAlignment="1">
      <alignment horizontal="center" vertical="center"/>
    </xf>
    <xf numFmtId="0" fontId="68" fillId="0" borderId="0" xfId="0" applyFont="1"/>
    <xf numFmtId="0" fontId="68" fillId="2" borderId="0" xfId="0" applyFont="1" applyFill="1" applyAlignment="1">
      <alignment vertical="center"/>
    </xf>
    <xf numFmtId="0" fontId="68" fillId="0" borderId="67" xfId="0" applyFont="1" applyBorder="1" applyAlignment="1">
      <alignment horizontal="center" vertical="center"/>
    </xf>
    <xf numFmtId="0" fontId="68" fillId="0" borderId="67" xfId="0" applyFont="1" applyBorder="1" applyAlignment="1" applyProtection="1">
      <alignment horizontal="justify" vertical="center" wrapText="1"/>
      <protection locked="0"/>
    </xf>
    <xf numFmtId="0" fontId="68" fillId="0" borderId="67" xfId="0" applyFont="1" applyBorder="1" applyAlignment="1" applyProtection="1">
      <alignment horizontal="center" vertical="center"/>
      <protection hidden="1"/>
    </xf>
    <xf numFmtId="0" fontId="68" fillId="0" borderId="67" xfId="0" applyFont="1" applyBorder="1" applyAlignment="1" applyProtection="1">
      <alignment horizontal="center" vertical="center" textRotation="90" wrapText="1"/>
      <protection locked="0"/>
    </xf>
    <xf numFmtId="9" fontId="68" fillId="0" borderId="67" xfId="0" applyNumberFormat="1" applyFont="1" applyBorder="1" applyAlignment="1" applyProtection="1">
      <alignment horizontal="center" vertical="center" wrapText="1"/>
      <protection hidden="1"/>
    </xf>
    <xf numFmtId="164" fontId="68" fillId="0" borderId="67" xfId="1" applyNumberFormat="1" applyFont="1" applyBorder="1" applyAlignment="1">
      <alignment horizontal="center" vertical="top"/>
    </xf>
    <xf numFmtId="0" fontId="64" fillId="0" borderId="67" xfId="0" applyFont="1" applyBorder="1" applyAlignment="1" applyProtection="1">
      <alignment horizontal="center" vertical="center" textRotation="90" wrapText="1"/>
      <protection hidden="1"/>
    </xf>
    <xf numFmtId="9" fontId="68" fillId="0" borderId="67" xfId="0" applyNumberFormat="1" applyFont="1" applyBorder="1" applyAlignment="1" applyProtection="1">
      <alignment horizontal="center" vertical="center"/>
      <protection hidden="1"/>
    </xf>
    <xf numFmtId="0" fontId="64" fillId="0" borderId="67" xfId="0" applyFont="1" applyBorder="1" applyAlignment="1" applyProtection="1">
      <alignment horizontal="center" vertical="center" textRotation="90"/>
      <protection hidden="1"/>
    </xf>
    <xf numFmtId="0" fontId="68" fillId="0" borderId="67" xfId="0" applyFont="1" applyBorder="1" applyAlignment="1" applyProtection="1">
      <alignment horizontal="center" vertical="center" textRotation="90"/>
      <protection locked="0"/>
    </xf>
    <xf numFmtId="0" fontId="68" fillId="0" borderId="0" xfId="0" applyFont="1" applyAlignment="1">
      <alignment vertical="center"/>
    </xf>
    <xf numFmtId="0" fontId="68" fillId="0" borderId="67" xfId="0" applyFont="1" applyBorder="1" applyAlignment="1" applyProtection="1">
      <alignment horizontal="justify" vertical="top" wrapText="1"/>
      <protection locked="0"/>
    </xf>
    <xf numFmtId="0" fontId="68" fillId="0" borderId="67" xfId="0" applyFont="1" applyBorder="1" applyAlignment="1" applyProtection="1">
      <alignment horizontal="center" vertical="top" wrapText="1"/>
      <protection locked="0"/>
    </xf>
    <xf numFmtId="0" fontId="68" fillId="0" borderId="67" xfId="0" applyFont="1" applyBorder="1" applyAlignment="1" applyProtection="1">
      <alignment horizontal="justify" vertical="top"/>
      <protection locked="0"/>
    </xf>
    <xf numFmtId="0" fontId="63" fillId="0" borderId="0" xfId="0" applyFont="1" applyAlignment="1">
      <alignment vertical="center"/>
    </xf>
    <xf numFmtId="49" fontId="0" fillId="0" borderId="0" xfId="0" applyNumberFormat="1"/>
    <xf numFmtId="0" fontId="62" fillId="0" borderId="0" xfId="0" applyFont="1" applyAlignment="1">
      <alignment horizontal="center" vertical="center"/>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1" fillId="0" borderId="0" xfId="0" applyFont="1" applyAlignment="1">
      <alignment horizontal="center" vertical="center" wrapText="1"/>
    </xf>
    <xf numFmtId="0" fontId="68" fillId="0" borderId="67" xfId="0" applyFont="1" applyBorder="1" applyAlignment="1" applyProtection="1">
      <alignment horizontal="justify" vertical="center"/>
      <protection locked="0"/>
    </xf>
    <xf numFmtId="0" fontId="68" fillId="0" borderId="0" xfId="0" applyFont="1" applyAlignment="1">
      <alignment horizontal="center" vertical="center"/>
    </xf>
    <xf numFmtId="0" fontId="69" fillId="0" borderId="69" xfId="0" applyFont="1" applyBorder="1" applyAlignment="1" applyProtection="1">
      <alignment horizontal="justify" vertical="center" wrapText="1"/>
      <protection locked="0"/>
    </xf>
    <xf numFmtId="0" fontId="68" fillId="0" borderId="69" xfId="0" applyFont="1" applyBorder="1" applyAlignment="1" applyProtection="1">
      <alignment horizontal="justify" vertical="center" wrapText="1"/>
      <protection locked="0"/>
    </xf>
    <xf numFmtId="0" fontId="68" fillId="0" borderId="69" xfId="0" applyFont="1" applyBorder="1" applyAlignment="1">
      <alignment horizontal="center" vertical="center"/>
    </xf>
    <xf numFmtId="0" fontId="68" fillId="0" borderId="69" xfId="0" applyFont="1" applyBorder="1" applyAlignment="1" applyProtection="1">
      <alignment horizontal="justify" vertical="top" wrapText="1"/>
      <protection locked="0"/>
    </xf>
    <xf numFmtId="0" fontId="68" fillId="0" borderId="69" xfId="0" applyFont="1" applyBorder="1" applyAlignment="1" applyProtection="1">
      <alignment horizontal="center" vertical="center"/>
      <protection hidden="1"/>
    </xf>
    <xf numFmtId="0" fontId="68" fillId="0" borderId="69" xfId="0" applyFont="1" applyBorder="1" applyAlignment="1" applyProtection="1">
      <alignment horizontal="center" vertical="center" textRotation="90" wrapText="1"/>
      <protection locked="0"/>
    </xf>
    <xf numFmtId="9" fontId="68" fillId="0" borderId="69" xfId="0" applyNumberFormat="1" applyFont="1" applyBorder="1" applyAlignment="1" applyProtection="1">
      <alignment horizontal="center" vertical="center" wrapText="1"/>
      <protection hidden="1"/>
    </xf>
    <xf numFmtId="164" fontId="68" fillId="0" borderId="69" xfId="1" applyNumberFormat="1" applyFont="1" applyBorder="1" applyAlignment="1">
      <alignment horizontal="center" vertical="top"/>
    </xf>
    <xf numFmtId="0" fontId="64" fillId="0" borderId="69" xfId="0" applyFont="1" applyBorder="1" applyAlignment="1" applyProtection="1">
      <alignment horizontal="center" vertical="center" textRotation="90" wrapText="1"/>
      <protection hidden="1"/>
    </xf>
    <xf numFmtId="9" fontId="68" fillId="0" borderId="69" xfId="0" applyNumberFormat="1" applyFont="1" applyBorder="1" applyAlignment="1" applyProtection="1">
      <alignment horizontal="center" vertical="center"/>
      <protection hidden="1"/>
    </xf>
    <xf numFmtId="0" fontId="64" fillId="0" borderId="69" xfId="0" applyFont="1" applyBorder="1" applyAlignment="1" applyProtection="1">
      <alignment horizontal="center" vertical="center" textRotation="90"/>
      <protection hidden="1"/>
    </xf>
    <xf numFmtId="0" fontId="68" fillId="0" borderId="69" xfId="0" applyFont="1" applyBorder="1" applyAlignment="1" applyProtection="1">
      <alignment horizontal="center" vertical="center" textRotation="90"/>
      <protection locked="0"/>
    </xf>
    <xf numFmtId="0" fontId="64" fillId="0" borderId="89" xfId="0" applyFont="1" applyBorder="1" applyAlignment="1">
      <alignment horizontal="center" vertical="center" textRotation="90" wrapText="1"/>
    </xf>
    <xf numFmtId="0" fontId="68" fillId="0" borderId="89" xfId="0" applyFont="1" applyBorder="1" applyAlignment="1">
      <alignment horizontal="center" vertical="center"/>
    </xf>
    <xf numFmtId="0" fontId="68" fillId="0" borderId="89" xfId="0" applyFont="1" applyBorder="1" applyAlignment="1" applyProtection="1">
      <alignment horizontal="justify" vertical="top" wrapText="1"/>
      <protection locked="0"/>
    </xf>
    <xf numFmtId="0" fontId="68" fillId="0" borderId="89" xfId="0" applyFont="1" applyBorder="1" applyAlignment="1" applyProtection="1">
      <alignment horizontal="center" vertical="center"/>
      <protection hidden="1"/>
    </xf>
    <xf numFmtId="0" fontId="68" fillId="0" borderId="89" xfId="0" applyFont="1" applyBorder="1" applyAlignment="1" applyProtection="1">
      <alignment horizontal="center" vertical="center" textRotation="90" wrapText="1"/>
      <protection locked="0"/>
    </xf>
    <xf numFmtId="9" fontId="68" fillId="0" borderId="89" xfId="0" applyNumberFormat="1" applyFont="1" applyBorder="1" applyAlignment="1" applyProtection="1">
      <alignment horizontal="center" vertical="center" wrapText="1"/>
      <protection hidden="1"/>
    </xf>
    <xf numFmtId="164" fontId="68" fillId="0" borderId="89" xfId="1" applyNumberFormat="1" applyFont="1" applyBorder="1" applyAlignment="1">
      <alignment horizontal="center" vertical="top"/>
    </xf>
    <xf numFmtId="0" fontId="64" fillId="0" borderId="89" xfId="0" applyFont="1" applyBorder="1" applyAlignment="1" applyProtection="1">
      <alignment horizontal="center" vertical="center" textRotation="90" wrapText="1"/>
      <protection hidden="1"/>
    </xf>
    <xf numFmtId="9" fontId="68" fillId="0" borderId="89" xfId="0" applyNumberFormat="1" applyFont="1" applyBorder="1" applyAlignment="1" applyProtection="1">
      <alignment horizontal="center" vertical="center"/>
      <protection hidden="1"/>
    </xf>
    <xf numFmtId="0" fontId="64" fillId="0" borderId="89" xfId="0" applyFont="1" applyBorder="1" applyAlignment="1" applyProtection="1">
      <alignment horizontal="center" vertical="center" textRotation="90"/>
      <protection hidden="1"/>
    </xf>
    <xf numFmtId="0" fontId="68" fillId="0" borderId="89" xfId="0" applyFont="1" applyBorder="1" applyAlignment="1" applyProtection="1">
      <alignment horizontal="center" vertical="center" textRotation="90"/>
      <protection locked="0"/>
    </xf>
    <xf numFmtId="0" fontId="68" fillId="0" borderId="89" xfId="0" applyFont="1" applyBorder="1" applyAlignment="1" applyProtection="1">
      <alignment horizontal="justify" vertical="center" wrapText="1"/>
      <protection locked="0"/>
    </xf>
    <xf numFmtId="164" fontId="68" fillId="0" borderId="89" xfId="1" applyNumberFormat="1" applyFont="1" applyBorder="1" applyAlignment="1">
      <alignment horizontal="center" vertical="center"/>
    </xf>
    <xf numFmtId="164" fontId="68" fillId="8" borderId="89" xfId="1" applyNumberFormat="1" applyFont="1" applyFill="1" applyBorder="1" applyAlignment="1">
      <alignment horizontal="center" vertical="center"/>
    </xf>
    <xf numFmtId="164" fontId="68" fillId="8" borderId="89" xfId="1" applyNumberFormat="1" applyFont="1" applyFill="1" applyBorder="1" applyAlignment="1">
      <alignment horizontal="center" vertical="top"/>
    </xf>
    <xf numFmtId="0" fontId="68" fillId="0" borderId="89" xfId="0" applyFont="1" applyBorder="1" applyAlignment="1" applyProtection="1">
      <alignment horizontal="justify" vertical="top"/>
      <protection locked="0"/>
    </xf>
    <xf numFmtId="0" fontId="69" fillId="0" borderId="89" xfId="0" applyFont="1" applyBorder="1" applyAlignment="1" applyProtection="1">
      <alignment horizontal="justify" vertical="center" wrapText="1"/>
      <protection locked="0"/>
    </xf>
    <xf numFmtId="0" fontId="12" fillId="0" borderId="79" xfId="4" applyFont="1" applyBorder="1" applyAlignment="1">
      <alignment horizontal="center" vertical="center"/>
    </xf>
    <xf numFmtId="0" fontId="12" fillId="0" borderId="80" xfId="4" applyFont="1" applyBorder="1" applyAlignment="1">
      <alignment horizontal="center" vertical="center"/>
    </xf>
    <xf numFmtId="0" fontId="12" fillId="0" borderId="81" xfId="4" applyFont="1" applyBorder="1" applyAlignment="1">
      <alignment horizontal="center" vertical="center"/>
    </xf>
    <xf numFmtId="0" fontId="56" fillId="0" borderId="23" xfId="4" applyFont="1" applyBorder="1" applyAlignment="1">
      <alignment horizontal="center" vertical="center" wrapText="1"/>
    </xf>
    <xf numFmtId="0" fontId="55" fillId="0" borderId="79" xfId="5" applyFont="1" applyBorder="1" applyAlignment="1">
      <alignment horizontal="center" vertical="center"/>
    </xf>
    <xf numFmtId="0" fontId="55" fillId="0" borderId="80" xfId="5" applyFont="1" applyBorder="1" applyAlignment="1">
      <alignment horizontal="center" vertical="center"/>
    </xf>
    <xf numFmtId="0" fontId="55" fillId="0" borderId="81" xfId="5" applyFont="1" applyBorder="1" applyAlignment="1">
      <alignment horizontal="center" vertical="center"/>
    </xf>
    <xf numFmtId="0" fontId="44" fillId="0" borderId="82" xfId="5" applyBorder="1" applyAlignment="1">
      <alignment horizontal="center" vertical="center"/>
    </xf>
    <xf numFmtId="0" fontId="44" fillId="0" borderId="83" xfId="5" applyBorder="1" applyAlignment="1">
      <alignment horizontal="center" vertical="center"/>
    </xf>
    <xf numFmtId="0" fontId="44" fillId="0" borderId="24" xfId="5" applyBorder="1" applyAlignment="1">
      <alignment horizontal="center" vertical="center"/>
    </xf>
    <xf numFmtId="0" fontId="55" fillId="0" borderId="23" xfId="5" applyFont="1" applyBorder="1" applyAlignment="1">
      <alignment horizontal="center" vertical="center" wrapText="1"/>
    </xf>
    <xf numFmtId="0" fontId="66" fillId="0" borderId="82" xfId="5" applyFont="1" applyBorder="1" applyAlignment="1">
      <alignment horizontal="center" vertical="top" wrapText="1"/>
    </xf>
    <xf numFmtId="0" fontId="66" fillId="0" borderId="83" xfId="5" applyFont="1" applyBorder="1" applyAlignment="1">
      <alignment horizontal="center" vertical="top" wrapText="1"/>
    </xf>
    <xf numFmtId="0" fontId="66" fillId="0" borderId="24" xfId="5" applyFont="1" applyBorder="1" applyAlignment="1">
      <alignment horizontal="center" vertical="top" wrapText="1"/>
    </xf>
    <xf numFmtId="0" fontId="56" fillId="0" borderId="23" xfId="5" applyFont="1" applyBorder="1" applyAlignment="1">
      <alignment horizontal="center" vertical="center" wrapText="1"/>
    </xf>
    <xf numFmtId="0" fontId="56" fillId="0" borderId="23" xfId="5" applyFont="1" applyBorder="1" applyAlignment="1">
      <alignment horizontal="left" vertical="center" wrapText="1"/>
    </xf>
    <xf numFmtId="0" fontId="56" fillId="0" borderId="23" xfId="5" applyFont="1" applyBorder="1" applyAlignment="1">
      <alignment horizontal="left" vertical="top" wrapText="1"/>
    </xf>
    <xf numFmtId="0" fontId="56" fillId="2" borderId="23" xfId="5" applyFont="1" applyFill="1" applyBorder="1" applyAlignment="1">
      <alignment horizontal="center" vertical="center" wrapText="1"/>
    </xf>
    <xf numFmtId="0" fontId="56" fillId="2" borderId="79" xfId="5" applyFont="1" applyFill="1" applyBorder="1" applyAlignment="1">
      <alignment horizontal="left" vertical="top" wrapText="1"/>
    </xf>
    <xf numFmtId="0" fontId="56" fillId="2" borderId="80" xfId="5" applyFont="1" applyFill="1" applyBorder="1" applyAlignment="1">
      <alignment horizontal="left" vertical="top" wrapText="1"/>
    </xf>
    <xf numFmtId="0" fontId="56" fillId="2" borderId="81" xfId="5" applyFont="1" applyFill="1" applyBorder="1" applyAlignment="1">
      <alignment horizontal="left" vertical="top" wrapText="1"/>
    </xf>
    <xf numFmtId="0" fontId="67" fillId="0" borderId="79" xfId="5" applyFont="1" applyBorder="1" applyAlignment="1">
      <alignment horizontal="left" vertical="top" wrapText="1"/>
    </xf>
    <xf numFmtId="0" fontId="67" fillId="0" borderId="80" xfId="5" applyFont="1" applyBorder="1" applyAlignment="1">
      <alignment horizontal="left" vertical="top"/>
    </xf>
    <xf numFmtId="0" fontId="67" fillId="0" borderId="81" xfId="5" applyFont="1" applyBorder="1" applyAlignment="1">
      <alignment horizontal="left" vertical="top"/>
    </xf>
    <xf numFmtId="0" fontId="46" fillId="0" borderId="23" xfId="5" applyFont="1" applyBorder="1" applyAlignment="1">
      <alignment horizontal="center" vertical="center"/>
    </xf>
    <xf numFmtId="0" fontId="65" fillId="0" borderId="23" xfId="5" applyFont="1" applyBorder="1" applyAlignment="1">
      <alignment horizontal="left" vertical="center" wrapText="1"/>
    </xf>
    <xf numFmtId="0" fontId="66" fillId="0" borderId="23" xfId="5" applyFont="1" applyBorder="1" applyAlignment="1">
      <alignment horizontal="left" vertical="center" wrapText="1"/>
    </xf>
    <xf numFmtId="0" fontId="66" fillId="0" borderId="23" xfId="5" applyFont="1" applyBorder="1" applyAlignment="1">
      <alignment horizontal="left" vertical="top" wrapText="1"/>
    </xf>
    <xf numFmtId="0" fontId="68" fillId="18" borderId="0" xfId="0" applyFont="1" applyFill="1" applyAlignment="1">
      <alignment horizontal="left" vertical="top" wrapText="1"/>
    </xf>
    <xf numFmtId="0" fontId="69" fillId="2" borderId="7" xfId="2" applyFont="1" applyFill="1" applyBorder="1" applyAlignment="1">
      <alignment horizontal="left" vertical="top" wrapText="1"/>
    </xf>
    <xf numFmtId="0" fontId="69" fillId="2" borderId="0" xfId="2" applyFont="1" applyFill="1" applyAlignment="1">
      <alignment horizontal="left" vertical="top" wrapText="1"/>
    </xf>
    <xf numFmtId="0" fontId="69" fillId="2" borderId="8" xfId="2" applyFont="1" applyFill="1" applyBorder="1" applyAlignment="1">
      <alignment horizontal="left" vertical="top" wrapText="1"/>
    </xf>
    <xf numFmtId="0" fontId="69" fillId="2" borderId="61" xfId="0" applyFont="1" applyFill="1" applyBorder="1" applyAlignment="1">
      <alignment horizontal="left" vertical="center" wrapText="1"/>
    </xf>
    <xf numFmtId="0" fontId="69" fillId="2" borderId="62" xfId="0" applyFont="1" applyFill="1" applyBorder="1" applyAlignment="1">
      <alignment horizontal="left" vertical="center" wrapText="1"/>
    </xf>
    <xf numFmtId="0" fontId="69" fillId="2" borderId="54" xfId="2" applyFont="1" applyFill="1" applyBorder="1" applyAlignment="1">
      <alignment horizontal="justify" vertical="center" wrapText="1"/>
    </xf>
    <xf numFmtId="0" fontId="69" fillId="2" borderId="55" xfId="2" applyFont="1" applyFill="1" applyBorder="1" applyAlignment="1">
      <alignment horizontal="justify" vertical="center" wrapText="1"/>
    </xf>
    <xf numFmtId="0" fontId="69" fillId="2" borderId="63" xfId="0" applyFont="1" applyFill="1" applyBorder="1" applyAlignment="1">
      <alignment horizontal="left" vertical="center" wrapText="1"/>
    </xf>
    <xf numFmtId="0" fontId="69" fillId="2" borderId="64" xfId="0" applyFont="1" applyFill="1" applyBorder="1" applyAlignment="1">
      <alignment horizontal="left" vertical="center" wrapText="1"/>
    </xf>
    <xf numFmtId="0" fontId="69" fillId="2" borderId="56" xfId="0" applyFont="1" applyFill="1" applyBorder="1" applyAlignment="1">
      <alignment horizontal="justify" vertical="center" wrapText="1"/>
    </xf>
    <xf numFmtId="0" fontId="69" fillId="2" borderId="57" xfId="0" applyFont="1" applyFill="1" applyBorder="1" applyAlignment="1">
      <alignment horizontal="justify" vertical="center" wrapText="1"/>
    </xf>
    <xf numFmtId="0" fontId="69" fillId="2" borderId="52" xfId="0" applyFont="1" applyFill="1" applyBorder="1" applyAlignment="1">
      <alignment horizontal="left" vertical="center" wrapText="1"/>
    </xf>
    <xf numFmtId="0" fontId="69" fillId="2" borderId="53" xfId="0" applyFont="1" applyFill="1" applyBorder="1" applyAlignment="1">
      <alignment horizontal="left" vertical="center" wrapText="1"/>
    </xf>
    <xf numFmtId="0" fontId="69" fillId="2" borderId="48" xfId="3" applyFont="1" applyFill="1" applyBorder="1" applyAlignment="1">
      <alignment horizontal="left" vertical="center" wrapText="1" readingOrder="1"/>
    </xf>
    <xf numFmtId="0" fontId="69" fillId="2" borderId="49" xfId="3" applyFont="1" applyFill="1" applyBorder="1" applyAlignment="1">
      <alignment horizontal="left" vertical="center" wrapText="1" readingOrder="1"/>
    </xf>
    <xf numFmtId="0" fontId="69" fillId="2" borderId="50" xfId="2" applyFont="1" applyFill="1" applyBorder="1" applyAlignment="1">
      <alignment horizontal="justify" vertical="center" wrapText="1"/>
    </xf>
    <xf numFmtId="0" fontId="69" fillId="2" borderId="51" xfId="2" applyFont="1" applyFill="1" applyBorder="1" applyAlignment="1">
      <alignment horizontal="justify" vertical="center" wrapText="1"/>
    </xf>
    <xf numFmtId="0" fontId="69" fillId="2" borderId="48" xfId="3" applyFont="1" applyFill="1" applyBorder="1" applyAlignment="1">
      <alignment horizontal="left" vertical="top" wrapText="1" readingOrder="1"/>
    </xf>
    <xf numFmtId="0" fontId="69" fillId="2" borderId="49" xfId="3" applyFont="1" applyFill="1" applyBorder="1" applyAlignment="1">
      <alignment horizontal="left" vertical="top" wrapText="1" readingOrder="1"/>
    </xf>
    <xf numFmtId="0" fontId="69" fillId="2" borderId="84" xfId="2" applyFont="1" applyFill="1" applyBorder="1" applyAlignment="1">
      <alignment horizontal="left" vertical="center" wrapText="1"/>
    </xf>
    <xf numFmtId="0" fontId="69" fillId="2" borderId="85" xfId="2" applyFont="1" applyFill="1" applyBorder="1" applyAlignment="1">
      <alignment horizontal="left" vertical="center" wrapText="1"/>
    </xf>
    <xf numFmtId="0" fontId="69" fillId="2" borderId="48" xfId="3" applyFont="1" applyFill="1" applyBorder="1" applyAlignment="1">
      <alignment vertical="center" wrapText="1" readingOrder="1"/>
    </xf>
    <xf numFmtId="0" fontId="69" fillId="2" borderId="49" xfId="3" applyFont="1" applyFill="1" applyBorder="1" applyAlignment="1">
      <alignment vertical="center" wrapText="1" readingOrder="1"/>
    </xf>
    <xf numFmtId="0" fontId="69" fillId="18" borderId="44" xfId="3" applyFont="1" applyFill="1" applyBorder="1" applyAlignment="1">
      <alignment horizontal="center" vertical="center" wrapText="1"/>
    </xf>
    <xf numFmtId="0" fontId="69" fillId="18" borderId="45" xfId="3" applyFont="1" applyFill="1" applyBorder="1" applyAlignment="1">
      <alignment horizontal="center" vertical="center" wrapText="1"/>
    </xf>
    <xf numFmtId="0" fontId="69" fillId="18" borderId="46" xfId="2" applyFont="1" applyFill="1" applyBorder="1" applyAlignment="1">
      <alignment horizontal="center" vertical="center"/>
    </xf>
    <xf numFmtId="0" fontId="69" fillId="18" borderId="47" xfId="2" applyFont="1" applyFill="1" applyBorder="1" applyAlignment="1">
      <alignment horizontal="center" vertical="center"/>
    </xf>
    <xf numFmtId="0" fontId="72" fillId="0" borderId="38" xfId="2" applyFont="1" applyBorder="1" applyAlignment="1">
      <alignment horizontal="center" vertical="center" wrapText="1"/>
    </xf>
    <xf numFmtId="0" fontId="72" fillId="0" borderId="39" xfId="2" applyFont="1" applyBorder="1" applyAlignment="1">
      <alignment horizontal="center" vertical="center" wrapText="1"/>
    </xf>
    <xf numFmtId="0" fontId="72" fillId="0" borderId="40" xfId="2" applyFont="1" applyBorder="1" applyAlignment="1">
      <alignment horizontal="center" vertical="center" wrapText="1"/>
    </xf>
    <xf numFmtId="0" fontId="69" fillId="0" borderId="7" xfId="2" quotePrefix="1" applyFont="1" applyBorder="1" applyAlignment="1">
      <alignment horizontal="left" vertical="center" wrapText="1"/>
    </xf>
    <xf numFmtId="0" fontId="69" fillId="0" borderId="0" xfId="2" quotePrefix="1" applyFont="1" applyAlignment="1">
      <alignment horizontal="left" vertical="center" wrapText="1"/>
    </xf>
    <xf numFmtId="0" fontId="69" fillId="0" borderId="8" xfId="2" quotePrefix="1" applyFont="1" applyBorder="1" applyAlignment="1">
      <alignment horizontal="left" vertical="center" wrapText="1"/>
    </xf>
    <xf numFmtId="0" fontId="69" fillId="0" borderId="58" xfId="2" quotePrefix="1" applyFont="1" applyBorder="1" applyAlignment="1">
      <alignment horizontal="left" vertical="center" wrapText="1"/>
    </xf>
    <xf numFmtId="0" fontId="69" fillId="0" borderId="59" xfId="2" quotePrefix="1" applyFont="1" applyBorder="1" applyAlignment="1">
      <alignment horizontal="left" vertical="center" wrapText="1"/>
    </xf>
    <xf numFmtId="0" fontId="69" fillId="0" borderId="60" xfId="2" quotePrefix="1" applyFont="1" applyBorder="1" applyAlignment="1">
      <alignment horizontal="left" vertical="center" wrapText="1"/>
    </xf>
    <xf numFmtId="0" fontId="71" fillId="2" borderId="41" xfId="2" quotePrefix="1" applyFont="1" applyFill="1" applyBorder="1" applyAlignment="1">
      <alignment horizontal="left" vertical="top" wrapText="1"/>
    </xf>
    <xf numFmtId="0" fontId="69" fillId="2" borderId="42" xfId="2" quotePrefix="1" applyFont="1" applyFill="1" applyBorder="1" applyAlignment="1">
      <alignment horizontal="left" vertical="top" wrapText="1"/>
    </xf>
    <xf numFmtId="0" fontId="69" fillId="2" borderId="43" xfId="2" quotePrefix="1" applyFont="1" applyFill="1" applyBorder="1" applyAlignment="1">
      <alignment horizontal="left" vertical="top" wrapText="1"/>
    </xf>
    <xf numFmtId="0" fontId="69" fillId="2" borderId="58" xfId="2" quotePrefix="1" applyFont="1" applyFill="1" applyBorder="1" applyAlignment="1">
      <alignment horizontal="justify" vertical="center" wrapText="1"/>
    </xf>
    <xf numFmtId="0" fontId="69" fillId="2" borderId="59" xfId="2" quotePrefix="1" applyFont="1" applyFill="1" applyBorder="1" applyAlignment="1">
      <alignment horizontal="justify" vertical="center" wrapText="1"/>
    </xf>
    <xf numFmtId="0" fontId="69" fillId="2" borderId="60" xfId="2" quotePrefix="1" applyFont="1" applyFill="1" applyBorder="1" applyAlignment="1">
      <alignment horizontal="justify" vertical="center" wrapText="1"/>
    </xf>
    <xf numFmtId="0" fontId="69" fillId="0" borderId="7" xfId="2" quotePrefix="1" applyFont="1" applyBorder="1" applyAlignment="1">
      <alignment horizontal="left" vertical="top" wrapText="1"/>
    </xf>
    <xf numFmtId="0" fontId="69" fillId="0" borderId="0" xfId="2" quotePrefix="1" applyFont="1" applyAlignment="1">
      <alignment horizontal="left" vertical="top" wrapText="1"/>
    </xf>
    <xf numFmtId="0" fontId="69" fillId="0" borderId="8" xfId="2" quotePrefix="1" applyFont="1" applyBorder="1" applyAlignment="1">
      <alignment horizontal="left" vertical="top" wrapText="1"/>
    </xf>
    <xf numFmtId="0" fontId="47" fillId="13" borderId="38" xfId="2" applyFont="1" applyFill="1" applyBorder="1" applyAlignment="1">
      <alignment horizontal="center" vertical="center" wrapText="1"/>
    </xf>
    <xf numFmtId="0" fontId="47" fillId="13" borderId="39" xfId="2" applyFont="1" applyFill="1" applyBorder="1" applyAlignment="1">
      <alignment horizontal="center" vertical="center" wrapText="1"/>
    </xf>
    <xf numFmtId="0" fontId="47" fillId="13" borderId="40" xfId="2" applyFont="1" applyFill="1" applyBorder="1" applyAlignment="1">
      <alignment horizontal="center" vertical="center" wrapText="1"/>
    </xf>
    <xf numFmtId="0" fontId="46" fillId="0" borderId="7" xfId="2" quotePrefix="1" applyFont="1" applyBorder="1" applyAlignment="1">
      <alignment horizontal="left" vertical="center" wrapText="1"/>
    </xf>
    <xf numFmtId="0" fontId="46" fillId="0" borderId="0" xfId="2" quotePrefix="1" applyFont="1" applyAlignment="1">
      <alignment horizontal="left" vertical="center" wrapText="1"/>
    </xf>
    <xf numFmtId="0" fontId="46" fillId="0" borderId="8" xfId="2" quotePrefix="1" applyFont="1" applyBorder="1" applyAlignment="1">
      <alignment horizontal="left" vertical="center" wrapText="1"/>
    </xf>
    <xf numFmtId="0" fontId="46" fillId="0" borderId="58" xfId="2" quotePrefix="1" applyFont="1" applyBorder="1" applyAlignment="1">
      <alignment horizontal="left" vertical="center" wrapText="1"/>
    </xf>
    <xf numFmtId="0" fontId="46" fillId="0" borderId="59" xfId="2" quotePrefix="1" applyFont="1" applyBorder="1" applyAlignment="1">
      <alignment horizontal="left" vertical="center" wrapText="1"/>
    </xf>
    <xf numFmtId="0" fontId="46" fillId="0" borderId="60" xfId="2" quotePrefix="1" applyFont="1" applyBorder="1" applyAlignment="1">
      <alignment horizontal="left" vertical="center" wrapText="1"/>
    </xf>
    <xf numFmtId="0" fontId="48" fillId="2" borderId="41" xfId="2" quotePrefix="1" applyFont="1" applyFill="1" applyBorder="1" applyAlignment="1">
      <alignment horizontal="left" vertical="top" wrapText="1"/>
    </xf>
    <xf numFmtId="0" fontId="49" fillId="2" borderId="42" xfId="2" quotePrefix="1" applyFont="1" applyFill="1" applyBorder="1" applyAlignment="1">
      <alignment horizontal="left" vertical="top" wrapText="1"/>
    </xf>
    <xf numFmtId="0" fontId="49" fillId="2" borderId="43" xfId="2" quotePrefix="1" applyFont="1" applyFill="1" applyBorder="1" applyAlignment="1">
      <alignment horizontal="left" vertical="top" wrapText="1"/>
    </xf>
    <xf numFmtId="0" fontId="46" fillId="0" borderId="7"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8" xfId="2" quotePrefix="1" applyFont="1" applyBorder="1" applyAlignment="1">
      <alignment horizontal="left" vertical="top" wrapText="1"/>
    </xf>
    <xf numFmtId="0" fontId="51" fillId="13" borderId="44" xfId="3" applyFont="1" applyFill="1" applyBorder="1" applyAlignment="1">
      <alignment horizontal="center" vertical="center" wrapText="1"/>
    </xf>
    <xf numFmtId="0" fontId="51" fillId="13" borderId="45" xfId="3" applyFont="1" applyFill="1" applyBorder="1" applyAlignment="1">
      <alignment horizontal="center" vertical="center" wrapText="1"/>
    </xf>
    <xf numFmtId="0" fontId="51" fillId="13" borderId="46" xfId="2" applyFont="1" applyFill="1" applyBorder="1" applyAlignment="1">
      <alignment horizontal="center" vertical="center"/>
    </xf>
    <xf numFmtId="0" fontId="51" fillId="13" borderId="47" xfId="2" applyFont="1" applyFill="1" applyBorder="1" applyAlignment="1">
      <alignment horizontal="center" vertical="center"/>
    </xf>
    <xf numFmtId="0" fontId="1" fillId="2" borderId="58" xfId="2" quotePrefix="1" applyFont="1" applyFill="1" applyBorder="1" applyAlignment="1">
      <alignment horizontal="justify" vertical="center" wrapText="1"/>
    </xf>
    <xf numFmtId="0" fontId="1" fillId="2" borderId="59" xfId="2" quotePrefix="1" applyFont="1" applyFill="1" applyBorder="1" applyAlignment="1">
      <alignment horizontal="justify" vertical="center" wrapText="1"/>
    </xf>
    <xf numFmtId="0" fontId="1" fillId="2" borderId="60" xfId="2" quotePrefix="1" applyFont="1" applyFill="1" applyBorder="1" applyAlignment="1">
      <alignment horizontal="justify" vertical="center" wrapText="1"/>
    </xf>
    <xf numFmtId="0" fontId="51" fillId="2" borderId="48" xfId="3" applyFont="1" applyFill="1" applyBorder="1" applyAlignment="1">
      <alignment horizontal="left" vertical="top" wrapText="1" readingOrder="1"/>
    </xf>
    <xf numFmtId="0" fontId="51" fillId="2" borderId="49" xfId="3" applyFont="1" applyFill="1" applyBorder="1" applyAlignment="1">
      <alignment horizontal="left" vertical="top" wrapText="1" readingOrder="1"/>
    </xf>
    <xf numFmtId="0" fontId="52" fillId="2" borderId="50" xfId="2" applyFont="1" applyFill="1" applyBorder="1" applyAlignment="1">
      <alignment horizontal="justify" vertical="center" wrapText="1"/>
    </xf>
    <xf numFmtId="0" fontId="52" fillId="2" borderId="51" xfId="2" applyFont="1" applyFill="1" applyBorder="1" applyAlignment="1">
      <alignment horizontal="justify" vertical="center" wrapText="1"/>
    </xf>
    <xf numFmtId="0" fontId="51" fillId="2" borderId="52" xfId="0" applyFont="1" applyFill="1" applyBorder="1" applyAlignment="1">
      <alignment horizontal="left" vertical="center" wrapText="1"/>
    </xf>
    <xf numFmtId="0" fontId="51" fillId="2" borderId="53" xfId="0" applyFont="1" applyFill="1" applyBorder="1" applyAlignment="1">
      <alignment horizontal="left" vertical="center" wrapText="1"/>
    </xf>
    <xf numFmtId="0" fontId="52" fillId="2" borderId="54" xfId="2" applyFont="1" applyFill="1" applyBorder="1" applyAlignment="1">
      <alignment horizontal="justify" vertical="center" wrapText="1"/>
    </xf>
    <xf numFmtId="0" fontId="52" fillId="2" borderId="55" xfId="2" applyFont="1" applyFill="1" applyBorder="1" applyAlignment="1">
      <alignment horizontal="justify" vertical="center" wrapText="1"/>
    </xf>
    <xf numFmtId="0" fontId="46" fillId="2" borderId="7" xfId="2" applyFont="1" applyFill="1" applyBorder="1" applyAlignment="1">
      <alignment horizontal="left" vertical="top" wrapText="1"/>
    </xf>
    <xf numFmtId="0" fontId="46" fillId="2" borderId="0" xfId="2" applyFont="1" applyFill="1" applyAlignment="1">
      <alignment horizontal="left" vertical="top" wrapText="1"/>
    </xf>
    <xf numFmtId="0" fontId="46" fillId="2" borderId="8" xfId="2" applyFont="1" applyFill="1" applyBorder="1" applyAlignment="1">
      <alignment horizontal="left" vertical="top" wrapText="1"/>
    </xf>
    <xf numFmtId="0" fontId="51" fillId="2" borderId="61" xfId="0" applyFont="1" applyFill="1" applyBorder="1" applyAlignment="1">
      <alignment horizontal="left" vertical="center" wrapText="1"/>
    </xf>
    <xf numFmtId="0" fontId="51" fillId="2" borderId="62" xfId="0" applyFont="1" applyFill="1" applyBorder="1" applyAlignment="1">
      <alignment horizontal="left" vertical="center" wrapText="1"/>
    </xf>
    <xf numFmtId="0" fontId="51" fillId="2" borderId="63" xfId="0" applyFont="1" applyFill="1" applyBorder="1" applyAlignment="1">
      <alignment horizontal="left" vertical="center" wrapText="1"/>
    </xf>
    <xf numFmtId="0" fontId="51" fillId="2" borderId="64" xfId="0" applyFont="1" applyFill="1" applyBorder="1" applyAlignment="1">
      <alignment horizontal="left" vertical="center" wrapText="1"/>
    </xf>
    <xf numFmtId="0" fontId="52" fillId="2" borderId="56" xfId="0" applyFont="1" applyFill="1" applyBorder="1" applyAlignment="1">
      <alignment horizontal="justify" vertical="center" wrapText="1"/>
    </xf>
    <xf numFmtId="0" fontId="52" fillId="2" borderId="57" xfId="0" applyFont="1" applyFill="1" applyBorder="1" applyAlignment="1">
      <alignment horizontal="justify" vertical="center" wrapText="1"/>
    </xf>
    <xf numFmtId="0" fontId="68" fillId="19" borderId="89" xfId="0" applyFont="1" applyFill="1" applyBorder="1" applyAlignment="1" applyProtection="1">
      <alignment horizontal="center" vertical="center"/>
      <protection locked="0"/>
    </xf>
    <xf numFmtId="14" fontId="68" fillId="19" borderId="89" xfId="0" applyNumberFormat="1" applyFont="1" applyFill="1" applyBorder="1" applyAlignment="1" applyProtection="1">
      <alignment horizontal="center" vertical="center"/>
      <protection locked="0"/>
    </xf>
    <xf numFmtId="0" fontId="64" fillId="0" borderId="89" xfId="0" applyFont="1" applyBorder="1" applyAlignment="1">
      <alignment horizontal="center" vertical="center" wrapText="1"/>
    </xf>
    <xf numFmtId="0" fontId="68" fillId="0" borderId="89" xfId="0" applyFont="1" applyBorder="1" applyAlignment="1" applyProtection="1">
      <alignment horizontal="center" vertical="center" wrapText="1"/>
      <protection locked="0"/>
    </xf>
    <xf numFmtId="0" fontId="68" fillId="0" borderId="89" xfId="0" applyFont="1" applyBorder="1" applyAlignment="1" applyProtection="1">
      <alignment horizontal="center" vertical="center"/>
      <protection locked="0"/>
    </xf>
    <xf numFmtId="0" fontId="64" fillId="0" borderId="89" xfId="0" applyFont="1" applyBorder="1" applyAlignment="1" applyProtection="1">
      <alignment horizontal="center" vertical="center" wrapText="1"/>
      <protection hidden="1"/>
    </xf>
    <xf numFmtId="0" fontId="64" fillId="0" borderId="89" xfId="0" applyFont="1" applyBorder="1" applyAlignment="1">
      <alignment horizontal="center" vertical="center"/>
    </xf>
    <xf numFmtId="9" fontId="68" fillId="0" borderId="89" xfId="0" applyNumberFormat="1" applyFont="1" applyBorder="1" applyAlignment="1" applyProtection="1">
      <alignment horizontal="center" vertical="center" wrapText="1"/>
      <protection hidden="1"/>
    </xf>
    <xf numFmtId="0" fontId="64" fillId="0" borderId="89" xfId="0" applyFont="1" applyBorder="1" applyAlignment="1" applyProtection="1">
      <alignment horizontal="center" vertical="center"/>
      <protection hidden="1"/>
    </xf>
    <xf numFmtId="0" fontId="68" fillId="19" borderId="89" xfId="0" applyFont="1" applyFill="1" applyBorder="1" applyAlignment="1" applyProtection="1">
      <alignment horizontal="justify" vertical="center" wrapText="1"/>
      <protection locked="0"/>
    </xf>
    <xf numFmtId="0" fontId="55" fillId="0" borderId="23" xfId="5" applyFont="1" applyBorder="1" applyAlignment="1">
      <alignment horizontal="left" vertical="center"/>
    </xf>
    <xf numFmtId="49" fontId="69" fillId="0" borderId="89" xfId="0" applyNumberFormat="1" applyFont="1" applyBorder="1" applyAlignment="1" applyProtection="1">
      <alignment horizontal="justify" vertical="center" wrapText="1"/>
      <protection locked="0"/>
    </xf>
    <xf numFmtId="49" fontId="68" fillId="0" borderId="89" xfId="0" applyNumberFormat="1" applyFont="1" applyBorder="1" applyAlignment="1" applyProtection="1">
      <alignment horizontal="justify" vertical="center" wrapText="1"/>
      <protection locked="0"/>
    </xf>
    <xf numFmtId="0" fontId="64" fillId="0" borderId="89" xfId="0" applyFont="1" applyBorder="1" applyAlignment="1">
      <alignment horizontal="center" vertical="center" textRotation="90" wrapText="1"/>
    </xf>
    <xf numFmtId="9" fontId="68" fillId="0" borderId="89" xfId="0" applyNumberFormat="1" applyFont="1" applyBorder="1" applyAlignment="1" applyProtection="1">
      <alignment horizontal="center" vertical="center" wrapText="1"/>
      <protection locked="0"/>
    </xf>
    <xf numFmtId="0" fontId="68" fillId="0" borderId="89" xfId="0" applyFont="1" applyBorder="1" applyAlignment="1" applyProtection="1">
      <alignment horizontal="justify" vertical="center" wrapText="1"/>
      <protection locked="0"/>
    </xf>
    <xf numFmtId="0" fontId="68" fillId="0" borderId="89" xfId="0" applyFont="1" applyBorder="1" applyAlignment="1" applyProtection="1">
      <alignment horizontal="center" vertical="center" textRotation="90" wrapText="1"/>
      <protection locked="0"/>
    </xf>
    <xf numFmtId="0" fontId="64" fillId="0" borderId="89" xfId="0" applyFont="1" applyBorder="1" applyAlignment="1">
      <alignment horizontal="center" vertical="center" textRotation="90"/>
    </xf>
    <xf numFmtId="0" fontId="69" fillId="0" borderId="89" xfId="0" applyFont="1" applyBorder="1" applyAlignment="1" applyProtection="1">
      <alignment horizontal="center" vertical="center" wrapText="1"/>
      <protection locked="0"/>
    </xf>
    <xf numFmtId="0" fontId="68" fillId="0" borderId="89" xfId="0" applyFont="1" applyBorder="1" applyAlignment="1">
      <alignment horizontal="center" vertical="center"/>
    </xf>
    <xf numFmtId="0" fontId="69" fillId="0" borderId="89" xfId="0" applyFont="1" applyBorder="1" applyAlignment="1" applyProtection="1">
      <alignment horizontal="justify" vertical="center" wrapText="1"/>
      <protection locked="0"/>
    </xf>
    <xf numFmtId="0" fontId="56" fillId="0" borderId="2" xfId="0" applyFont="1" applyBorder="1" applyAlignment="1">
      <alignment horizontal="left" vertical="center" wrapText="1"/>
    </xf>
    <xf numFmtId="0" fontId="56" fillId="0" borderId="21" xfId="0" applyFont="1" applyBorder="1" applyAlignment="1">
      <alignment horizontal="left" vertical="center" wrapText="1"/>
    </xf>
    <xf numFmtId="0" fontId="56" fillId="0" borderId="22" xfId="0" applyFont="1" applyBorder="1" applyAlignment="1">
      <alignment horizontal="left" vertical="center" wrapText="1"/>
    </xf>
    <xf numFmtId="0" fontId="68" fillId="0" borderId="69" xfId="0" applyFont="1" applyBorder="1" applyAlignment="1">
      <alignment horizontal="center" vertical="center"/>
    </xf>
    <xf numFmtId="0" fontId="68" fillId="0" borderId="67" xfId="0" applyFont="1" applyBorder="1" applyAlignment="1">
      <alignment horizontal="center" vertical="center"/>
    </xf>
    <xf numFmtId="0" fontId="68" fillId="0" borderId="69" xfId="0" applyFont="1" applyBorder="1" applyAlignment="1" applyProtection="1">
      <alignment horizontal="center" vertical="top" wrapText="1"/>
      <protection locked="0"/>
    </xf>
    <xf numFmtId="0" fontId="68" fillId="0" borderId="67" xfId="0" applyFont="1" applyBorder="1" applyAlignment="1" applyProtection="1">
      <alignment horizontal="center" vertical="top" wrapText="1"/>
      <protection locked="0"/>
    </xf>
    <xf numFmtId="0" fontId="69" fillId="0" borderId="69" xfId="0" applyFont="1" applyBorder="1" applyAlignment="1" applyProtection="1">
      <alignment horizontal="center" vertical="top" wrapText="1"/>
      <protection locked="0"/>
    </xf>
    <xf numFmtId="0" fontId="69" fillId="0" borderId="67" xfId="0" applyFont="1" applyBorder="1" applyAlignment="1" applyProtection="1">
      <alignment horizontal="center" vertical="top" wrapText="1"/>
      <protection locked="0"/>
    </xf>
    <xf numFmtId="0" fontId="68" fillId="0" borderId="69" xfId="0" applyFont="1" applyBorder="1" applyAlignment="1" applyProtection="1">
      <alignment horizontal="center" vertical="center" wrapText="1"/>
      <protection locked="0"/>
    </xf>
    <xf numFmtId="0" fontId="68" fillId="0" borderId="67" xfId="0" applyFont="1" applyBorder="1" applyAlignment="1" applyProtection="1">
      <alignment horizontal="center" vertical="center" wrapText="1"/>
      <protection locked="0"/>
    </xf>
    <xf numFmtId="0" fontId="68" fillId="0" borderId="69" xfId="0" applyFont="1" applyBorder="1" applyAlignment="1" applyProtection="1">
      <alignment horizontal="center" vertical="top"/>
      <protection locked="0"/>
    </xf>
    <xf numFmtId="0" fontId="68" fillId="0" borderId="67" xfId="0" applyFont="1" applyBorder="1" applyAlignment="1" applyProtection="1">
      <alignment horizontal="center" vertical="top"/>
      <protection locked="0"/>
    </xf>
    <xf numFmtId="0" fontId="64" fillId="0" borderId="69" xfId="0" applyFont="1" applyBorder="1" applyAlignment="1" applyProtection="1">
      <alignment horizontal="center" vertical="top" wrapText="1"/>
      <protection hidden="1"/>
    </xf>
    <xf numFmtId="0" fontId="64" fillId="0" borderId="67" xfId="0" applyFont="1" applyBorder="1" applyAlignment="1" applyProtection="1">
      <alignment horizontal="center" vertical="top" wrapText="1"/>
      <protection hidden="1"/>
    </xf>
    <xf numFmtId="9" fontId="68" fillId="0" borderId="69" xfId="0" applyNumberFormat="1" applyFont="1" applyBorder="1" applyAlignment="1" applyProtection="1">
      <alignment horizontal="center" vertical="top" wrapText="1"/>
      <protection hidden="1"/>
    </xf>
    <xf numFmtId="9" fontId="68" fillId="0" borderId="67" xfId="0" applyNumberFormat="1" applyFont="1" applyBorder="1" applyAlignment="1" applyProtection="1">
      <alignment horizontal="center" vertical="top" wrapText="1"/>
      <protection hidden="1"/>
    </xf>
    <xf numFmtId="9" fontId="68" fillId="0" borderId="69" xfId="0" applyNumberFormat="1" applyFont="1" applyBorder="1" applyAlignment="1" applyProtection="1">
      <alignment horizontal="center" vertical="top" wrapText="1"/>
      <protection locked="0"/>
    </xf>
    <xf numFmtId="9" fontId="68" fillId="0" borderId="67" xfId="0" applyNumberFormat="1" applyFont="1" applyBorder="1" applyAlignment="1" applyProtection="1">
      <alignment horizontal="center" vertical="top" wrapText="1"/>
      <protection locked="0"/>
    </xf>
    <xf numFmtId="0" fontId="64" fillId="0" borderId="69" xfId="0" applyFont="1" applyBorder="1" applyAlignment="1" applyProtection="1">
      <alignment horizontal="center" vertical="top"/>
      <protection hidden="1"/>
    </xf>
    <xf numFmtId="0" fontId="64" fillId="0" borderId="67" xfId="0" applyFont="1" applyBorder="1" applyAlignment="1" applyProtection="1">
      <alignment horizontal="center" vertical="top"/>
      <protection hidden="1"/>
    </xf>
    <xf numFmtId="0" fontId="55" fillId="0" borderId="23" xfId="5" applyFont="1" applyBorder="1" applyAlignment="1">
      <alignment horizontal="center" vertical="center"/>
    </xf>
    <xf numFmtId="0" fontId="55" fillId="0" borderId="23" xfId="5" applyFont="1" applyBorder="1" applyAlignment="1">
      <alignment horizontal="left" vertical="center" wrapText="1"/>
    </xf>
    <xf numFmtId="0" fontId="68" fillId="2" borderId="67" xfId="0" applyFont="1" applyFill="1" applyBorder="1" applyAlignment="1" applyProtection="1">
      <alignment horizontal="left" vertical="center"/>
      <protection locked="0"/>
    </xf>
    <xf numFmtId="0" fontId="68" fillId="2" borderId="0" xfId="0" applyFont="1" applyFill="1" applyAlignment="1">
      <alignment horizontal="left" vertical="center"/>
    </xf>
    <xf numFmtId="0" fontId="57" fillId="0" borderId="0" xfId="0" applyFont="1" applyAlignment="1">
      <alignment horizontal="center" vertical="center"/>
    </xf>
    <xf numFmtId="0" fontId="68" fillId="0" borderId="67" xfId="0" applyFont="1" applyBorder="1" applyAlignment="1">
      <alignment horizontal="left" vertical="center"/>
    </xf>
    <xf numFmtId="0" fontId="68" fillId="0" borderId="68" xfId="0" applyFont="1" applyBorder="1" applyAlignment="1">
      <alignment horizontal="left" vertical="center"/>
    </xf>
    <xf numFmtId="0" fontId="68" fillId="2" borderId="68" xfId="0" applyFont="1" applyFill="1" applyBorder="1" applyAlignment="1" applyProtection="1">
      <alignment horizontal="left" vertical="center" wrapText="1"/>
      <protection locked="0"/>
    </xf>
    <xf numFmtId="0" fontId="68" fillId="19" borderId="89" xfId="0" applyFont="1" applyFill="1" applyBorder="1" applyAlignment="1" applyProtection="1">
      <alignment horizontal="center" vertical="center" wrapText="1"/>
      <protection locked="0"/>
    </xf>
    <xf numFmtId="0" fontId="68" fillId="0" borderId="90" xfId="0" applyFont="1" applyBorder="1" applyAlignment="1" applyProtection="1">
      <alignment horizontal="center" vertical="center" textRotation="90" wrapText="1"/>
      <protection locked="0"/>
    </xf>
    <xf numFmtId="0" fontId="68" fillId="0" borderId="65" xfId="0" applyFont="1" applyBorder="1" applyAlignment="1" applyProtection="1">
      <alignment horizontal="center" vertical="center" textRotation="90" wrapText="1"/>
      <protection locked="0"/>
    </xf>
    <xf numFmtId="0" fontId="68" fillId="0" borderId="70" xfId="0" applyFont="1" applyBorder="1" applyAlignment="1" applyProtection="1">
      <alignment horizontal="center" vertical="top" wrapText="1"/>
      <protection locked="0"/>
    </xf>
    <xf numFmtId="0" fontId="68" fillId="0" borderId="86" xfId="0" applyFont="1" applyBorder="1" applyAlignment="1" applyProtection="1">
      <alignment horizontal="center" vertical="center"/>
      <protection locked="0"/>
    </xf>
    <xf numFmtId="0" fontId="68" fillId="0" borderId="87" xfId="0" applyFont="1" applyBorder="1" applyAlignment="1" applyProtection="1">
      <alignment horizontal="center" vertical="center"/>
      <protection locked="0"/>
    </xf>
    <xf numFmtId="14" fontId="68" fillId="0" borderId="70" xfId="0" applyNumberFormat="1" applyFont="1" applyBorder="1" applyAlignment="1" applyProtection="1">
      <alignment horizontal="center" vertical="center"/>
      <protection locked="0"/>
    </xf>
    <xf numFmtId="14" fontId="68" fillId="0" borderId="69" xfId="0" applyNumberFormat="1" applyFont="1" applyBorder="1" applyAlignment="1" applyProtection="1">
      <alignment horizontal="center" vertical="center"/>
      <protection locked="0"/>
    </xf>
    <xf numFmtId="0" fontId="69" fillId="0" borderId="70" xfId="0" applyFont="1" applyBorder="1" applyAlignment="1" applyProtection="1">
      <alignment horizontal="center" vertical="top" wrapText="1"/>
      <protection locked="0"/>
    </xf>
    <xf numFmtId="0" fontId="68" fillId="0" borderId="70" xfId="0" applyFont="1" applyBorder="1" applyAlignment="1" applyProtection="1">
      <alignment horizontal="center" vertical="top"/>
      <protection locked="0"/>
    </xf>
    <xf numFmtId="14" fontId="68" fillId="0" borderId="0" xfId="0" applyNumberFormat="1" applyFont="1" applyAlignment="1" applyProtection="1">
      <alignment horizontal="center" vertical="center"/>
      <protection locked="0"/>
    </xf>
    <xf numFmtId="14" fontId="68" fillId="0" borderId="88" xfId="0" applyNumberFormat="1" applyFont="1" applyBorder="1" applyAlignment="1" applyProtection="1">
      <alignment horizontal="center" vertical="center"/>
      <protection locked="0"/>
    </xf>
    <xf numFmtId="0" fontId="68" fillId="19" borderId="89" xfId="0" applyFont="1" applyFill="1" applyBorder="1" applyAlignment="1">
      <alignment horizontal="justify" vertical="center" wrapText="1"/>
    </xf>
    <xf numFmtId="0" fontId="68" fillId="19" borderId="89" xfId="0" applyFont="1" applyFill="1" applyBorder="1" applyAlignment="1">
      <alignment horizontal="justify" vertical="center"/>
    </xf>
    <xf numFmtId="49" fontId="68" fillId="19" borderId="89" xfId="0" applyNumberFormat="1" applyFont="1" applyFill="1" applyBorder="1" applyAlignment="1" applyProtection="1">
      <alignment horizontal="justify" vertical="center" wrapText="1"/>
      <protection locked="0"/>
    </xf>
    <xf numFmtId="49" fontId="68" fillId="19" borderId="89" xfId="0" applyNumberFormat="1" applyFont="1" applyFill="1" applyBorder="1" applyAlignment="1">
      <alignment horizontal="justify" vertical="center" wrapText="1"/>
    </xf>
    <xf numFmtId="49" fontId="68" fillId="19" borderId="89" xfId="0" applyNumberFormat="1" applyFont="1" applyFill="1" applyBorder="1" applyAlignment="1">
      <alignment horizontal="justify" vertical="center"/>
    </xf>
    <xf numFmtId="0" fontId="23" fillId="0" borderId="0" xfId="0" applyFont="1" applyAlignment="1">
      <alignment horizontal="center" vertical="center" wrapText="1"/>
    </xf>
    <xf numFmtId="0" fontId="18" fillId="4" borderId="7" xfId="0" applyFont="1" applyFill="1" applyBorder="1" applyAlignment="1" applyProtection="1">
      <alignment horizontal="center" wrapText="1" readingOrder="1"/>
      <protection hidden="1"/>
    </xf>
    <xf numFmtId="0" fontId="18" fillId="4" borderId="0" xfId="0" applyFont="1" applyFill="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11"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12"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0" xfId="0" applyFont="1" applyFill="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11"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12"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0" xfId="0" applyFont="1" applyFill="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0" borderId="9" xfId="0" applyFont="1" applyFill="1" applyBorder="1" applyAlignment="1" applyProtection="1">
      <alignment horizontal="center" vertical="center" wrapText="1" readingOrder="1"/>
      <protection hidden="1"/>
    </xf>
    <xf numFmtId="0" fontId="18" fillId="10" borderId="11"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0" borderId="5" xfId="0" applyFont="1" applyFill="1" applyBorder="1" applyAlignment="1" applyProtection="1">
      <alignment horizontal="center" vertical="center" wrapText="1" readingOrder="1"/>
      <protection hidden="1"/>
    </xf>
    <xf numFmtId="0" fontId="18" fillId="10" borderId="12"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6" fillId="9" borderId="0" xfId="0" applyFont="1" applyFill="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wrapText="1"/>
    </xf>
    <xf numFmtId="0" fontId="16" fillId="9" borderId="0" xfId="0" applyFont="1" applyFill="1" applyAlignment="1">
      <alignment horizontal="center" vertical="center" textRotation="90" wrapText="1" readingOrder="1"/>
    </xf>
    <xf numFmtId="0" fontId="16" fillId="9" borderId="8" xfId="0" applyFont="1" applyFill="1" applyBorder="1" applyAlignment="1">
      <alignment horizontal="center" vertical="center" textRotation="90"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0" borderId="13" xfId="0" applyFont="1" applyFill="1" applyBorder="1" applyAlignment="1">
      <alignment horizontal="center" vertical="center" wrapText="1" readingOrder="1"/>
    </xf>
    <xf numFmtId="0" fontId="19" fillId="10" borderId="14" xfId="0" applyFont="1" applyFill="1" applyBorder="1" applyAlignment="1">
      <alignment horizontal="center" vertical="center" wrapText="1" readingOrder="1"/>
    </xf>
    <xf numFmtId="0" fontId="19" fillId="10" borderId="15" xfId="0" applyFont="1" applyFill="1" applyBorder="1" applyAlignment="1">
      <alignment horizontal="center" vertical="center" wrapText="1" readingOrder="1"/>
    </xf>
    <xf numFmtId="0" fontId="19" fillId="10" borderId="16" xfId="0" applyFont="1" applyFill="1" applyBorder="1" applyAlignment="1">
      <alignment horizontal="center" vertical="center" wrapText="1" readingOrder="1"/>
    </xf>
    <xf numFmtId="0" fontId="19" fillId="10" borderId="0" xfId="0" applyFont="1" applyFill="1" applyAlignment="1">
      <alignment horizontal="center" vertical="center" wrapText="1" readingOrder="1"/>
    </xf>
    <xf numFmtId="0" fontId="19" fillId="10" borderId="17" xfId="0" applyFont="1" applyFill="1" applyBorder="1" applyAlignment="1">
      <alignment horizontal="center" vertical="center" wrapText="1" readingOrder="1"/>
    </xf>
    <xf numFmtId="0" fontId="19" fillId="10" borderId="18" xfId="0" applyFont="1" applyFill="1" applyBorder="1" applyAlignment="1">
      <alignment horizontal="center" vertical="center" wrapText="1" readingOrder="1"/>
    </xf>
    <xf numFmtId="0" fontId="19" fillId="10" borderId="19" xfId="0" applyFont="1" applyFill="1" applyBorder="1" applyAlignment="1">
      <alignment horizontal="center" vertical="center" wrapText="1" readingOrder="1"/>
    </xf>
    <xf numFmtId="0" fontId="19" fillId="10" borderId="20" xfId="0" applyFont="1" applyFill="1" applyBorder="1" applyAlignment="1">
      <alignment horizontal="center" vertical="center"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4" borderId="13" xfId="0" applyFont="1" applyFill="1" applyBorder="1" applyAlignment="1">
      <alignment horizontal="center" vertical="center" wrapText="1" readingOrder="1"/>
    </xf>
    <xf numFmtId="0" fontId="19" fillId="4" borderId="14" xfId="0" applyFont="1" applyFill="1" applyBorder="1" applyAlignment="1">
      <alignment horizontal="center" vertical="center" wrapText="1" readingOrder="1"/>
    </xf>
    <xf numFmtId="0" fontId="19" fillId="4" borderId="15" xfId="0" applyFont="1" applyFill="1" applyBorder="1" applyAlignment="1">
      <alignment horizontal="center" vertical="center" wrapText="1" readingOrder="1"/>
    </xf>
    <xf numFmtId="0" fontId="19" fillId="4" borderId="16" xfId="0" applyFont="1" applyFill="1" applyBorder="1" applyAlignment="1">
      <alignment horizontal="center" vertical="center" wrapText="1" readingOrder="1"/>
    </xf>
    <xf numFmtId="0" fontId="19" fillId="4" borderId="0" xfId="0" applyFont="1" applyFill="1" applyAlignment="1">
      <alignment horizontal="center" vertical="center" wrapText="1" readingOrder="1"/>
    </xf>
    <xf numFmtId="0" fontId="19" fillId="4" borderId="17" xfId="0" applyFont="1" applyFill="1" applyBorder="1" applyAlignment="1">
      <alignment horizontal="center" vertical="center" wrapText="1" readingOrder="1"/>
    </xf>
    <xf numFmtId="0" fontId="19" fillId="4" borderId="18" xfId="0" applyFont="1" applyFill="1" applyBorder="1" applyAlignment="1">
      <alignment horizontal="center" vertical="center" wrapText="1" readingOrder="1"/>
    </xf>
    <xf numFmtId="0" fontId="19" fillId="4" borderId="19" xfId="0" applyFont="1" applyFill="1" applyBorder="1" applyAlignment="1">
      <alignment horizontal="center" vertical="center" wrapText="1" readingOrder="1"/>
    </xf>
    <xf numFmtId="0" fontId="19" fillId="4" borderId="20" xfId="0" applyFont="1" applyFill="1" applyBorder="1" applyAlignment="1">
      <alignment horizontal="center" vertical="center" wrapText="1" readingOrder="1"/>
    </xf>
    <xf numFmtId="0" fontId="40" fillId="0" borderId="5" xfId="0" applyFont="1" applyBorder="1" applyAlignment="1">
      <alignment horizontal="center" vertical="center" wrapText="1"/>
    </xf>
    <xf numFmtId="0" fontId="40" fillId="0" borderId="12"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0" xfId="0" applyFont="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0" fillId="0" borderId="12" xfId="0" applyFont="1" applyBorder="1" applyAlignment="1">
      <alignment horizontal="center" vertical="center" wrapText="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9" fillId="10" borderId="0" xfId="0" applyFont="1" applyFill="1" applyAlignment="1">
      <alignment horizontal="center" vertical="center" wrapText="1" readingOrder="1"/>
    </xf>
    <xf numFmtId="0" fontId="39" fillId="10" borderId="17" xfId="0" applyFont="1" applyFill="1" applyBorder="1" applyAlignment="1">
      <alignment horizontal="center" vertical="center" wrapText="1" readingOrder="1"/>
    </xf>
    <xf numFmtId="0" fontId="39" fillId="10" borderId="18" xfId="0" applyFont="1" applyFill="1" applyBorder="1" applyAlignment="1">
      <alignment horizontal="center" vertical="center" wrapText="1" readingOrder="1"/>
    </xf>
    <xf numFmtId="0" fontId="39" fillId="10" borderId="19" xfId="0" applyFont="1" applyFill="1" applyBorder="1" applyAlignment="1">
      <alignment horizontal="center" vertical="center" wrapText="1" readingOrder="1"/>
    </xf>
    <xf numFmtId="0" fontId="39" fillId="10" borderId="20" xfId="0" applyFont="1" applyFill="1" applyBorder="1" applyAlignment="1">
      <alignment horizontal="center" vertical="center" wrapText="1" readingOrder="1"/>
    </xf>
    <xf numFmtId="0" fontId="40" fillId="0" borderId="7" xfId="0" applyFont="1" applyBorder="1" applyAlignment="1">
      <alignment horizontal="center" vertical="center" wrapText="1"/>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17" xfId="0" applyFont="1" applyFill="1" applyBorder="1" applyAlignment="1">
      <alignment horizontal="center" vertical="center" wrapText="1" readingOrder="1"/>
    </xf>
    <xf numFmtId="0" fontId="39" fillId="11" borderId="18" xfId="0" applyFont="1" applyFill="1" applyBorder="1" applyAlignment="1">
      <alignment horizontal="center" vertical="center" wrapText="1" readingOrder="1"/>
    </xf>
    <xf numFmtId="0" fontId="39" fillId="11" borderId="19" xfId="0" applyFont="1" applyFill="1" applyBorder="1" applyAlignment="1">
      <alignment horizontal="center" vertical="center" wrapText="1" readingOrder="1"/>
    </xf>
    <xf numFmtId="0" fontId="39" fillId="11" borderId="20"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4" borderId="0" xfId="0" applyFont="1" applyFill="1" applyAlignment="1">
      <alignment horizontal="center" vertical="center" wrapText="1" readingOrder="1"/>
    </xf>
    <xf numFmtId="0" fontId="39" fillId="4" borderId="17" xfId="0" applyFont="1" applyFill="1" applyBorder="1" applyAlignment="1">
      <alignment horizontal="center" vertical="center" wrapText="1" readingOrder="1"/>
    </xf>
    <xf numFmtId="0" fontId="39" fillId="4" borderId="18" xfId="0" applyFont="1" applyFill="1" applyBorder="1" applyAlignment="1">
      <alignment horizontal="center" vertical="center" wrapText="1" readingOrder="1"/>
    </xf>
    <xf numFmtId="0" fontId="39" fillId="4" borderId="19" xfId="0" applyFont="1" applyFill="1" applyBorder="1" applyAlignment="1">
      <alignment horizontal="center" vertical="center" wrapText="1" readingOrder="1"/>
    </xf>
    <xf numFmtId="0" fontId="39" fillId="4" borderId="2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17" xfId="0" applyFont="1" applyFill="1" applyBorder="1" applyAlignment="1">
      <alignment horizontal="center" vertical="center" wrapText="1" readingOrder="1"/>
    </xf>
    <xf numFmtId="0" fontId="39" fillId="12" borderId="18" xfId="0" applyFont="1" applyFill="1" applyBorder="1" applyAlignment="1">
      <alignment horizontal="center" vertical="center" wrapText="1" readingOrder="1"/>
    </xf>
    <xf numFmtId="0" fontId="39" fillId="12" borderId="19" xfId="0" applyFont="1" applyFill="1" applyBorder="1" applyAlignment="1">
      <alignment horizontal="center" vertical="center" wrapText="1" readingOrder="1"/>
    </xf>
    <xf numFmtId="0" fontId="39" fillId="12" borderId="20" xfId="0" applyFont="1" applyFill="1" applyBorder="1" applyAlignment="1">
      <alignment horizontal="center" vertical="center" wrapText="1" readingOrder="1"/>
    </xf>
    <xf numFmtId="0" fontId="62" fillId="15" borderId="72" xfId="0" applyFont="1" applyFill="1" applyBorder="1" applyAlignment="1">
      <alignment horizontal="center" vertical="center"/>
    </xf>
    <xf numFmtId="0" fontId="62" fillId="15" borderId="73" xfId="0" applyFont="1" applyFill="1" applyBorder="1" applyAlignment="1">
      <alignment horizontal="center" vertical="center"/>
    </xf>
    <xf numFmtId="0" fontId="62" fillId="15" borderId="74" xfId="0" applyFont="1" applyFill="1" applyBorder="1" applyAlignment="1">
      <alignment horizontal="center" vertical="center"/>
    </xf>
    <xf numFmtId="0" fontId="62" fillId="16" borderId="25" xfId="0" applyFont="1" applyFill="1" applyBorder="1" applyAlignment="1">
      <alignment horizontal="center" vertical="center"/>
    </xf>
    <xf numFmtId="0" fontId="62" fillId="16" borderId="26" xfId="0" applyFont="1" applyFill="1" applyBorder="1" applyAlignment="1">
      <alignment horizontal="center" vertical="center"/>
    </xf>
    <xf numFmtId="0" fontId="62" fillId="16" borderId="37" xfId="0" applyFont="1" applyFill="1" applyBorder="1" applyAlignment="1">
      <alignment horizontal="center" vertical="center"/>
    </xf>
    <xf numFmtId="0" fontId="22" fillId="0" borderId="0" xfId="0" applyFont="1" applyAlignment="1">
      <alignment horizontal="center" vertical="center"/>
    </xf>
    <xf numFmtId="0" fontId="42" fillId="0" borderId="0" xfId="0" applyFont="1" applyAlignment="1">
      <alignment horizontal="center" vertical="center"/>
    </xf>
    <xf numFmtId="0" fontId="37" fillId="14" borderId="25" xfId="0" applyFont="1" applyFill="1" applyBorder="1" applyAlignment="1">
      <alignment horizontal="center" vertical="center" wrapText="1" readingOrder="1"/>
    </xf>
    <xf numFmtId="0" fontId="37" fillId="14" borderId="26" xfId="0" applyFont="1" applyFill="1" applyBorder="1" applyAlignment="1">
      <alignment horizontal="center" vertical="center" wrapText="1" readingOrder="1"/>
    </xf>
    <xf numFmtId="0" fontId="37" fillId="14" borderId="37" xfId="0" applyFont="1" applyFill="1" applyBorder="1" applyAlignment="1">
      <alignment horizontal="center" vertical="center" wrapText="1" readingOrder="1"/>
    </xf>
    <xf numFmtId="0" fontId="32" fillId="2" borderId="0" xfId="0" applyFont="1" applyFill="1" applyAlignment="1">
      <alignment horizontal="justify" vertical="center" wrapText="1"/>
    </xf>
    <xf numFmtId="0" fontId="34" fillId="14" borderId="34" xfId="0" applyFont="1" applyFill="1" applyBorder="1" applyAlignment="1">
      <alignment horizontal="center" vertical="center" wrapText="1" readingOrder="1"/>
    </xf>
    <xf numFmtId="0" fontId="34" fillId="14" borderId="35" xfId="0" applyFont="1" applyFill="1" applyBorder="1" applyAlignment="1">
      <alignment horizontal="center" vertical="center" wrapText="1" readingOrder="1"/>
    </xf>
    <xf numFmtId="0" fontId="34" fillId="2" borderId="32" xfId="0" applyFont="1" applyFill="1" applyBorder="1" applyAlignment="1">
      <alignment horizontal="center" vertical="center" wrapText="1" readingOrder="1"/>
    </xf>
    <xf numFmtId="0" fontId="34" fillId="2" borderId="27" xfId="0" applyFont="1" applyFill="1" applyBorder="1" applyAlignment="1">
      <alignment horizontal="center" vertical="center" wrapText="1" readingOrder="1"/>
    </xf>
    <xf numFmtId="0" fontId="34" fillId="2" borderId="24" xfId="0"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4" fillId="2" borderId="29"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38">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FFFF00"/>
        </patternFill>
      </fill>
    </dxf>
    <dxf>
      <fill>
        <patternFill>
          <bgColor theme="9" tint="-0.24994659260841701"/>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1C497A"/>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pivotCacheDefinition" Target="pivotCache/pivotCacheDefinition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2</xdr:col>
      <xdr:colOff>1238250</xdr:colOff>
      <xdr:row>3</xdr:row>
      <xdr:rowOff>224678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2857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SAR/RIESGOS%202023/FORMATO%20MAPA%20DE%20RIESGOS%20APOYO%20DIGSA%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SAR/Riesgos/FORMATO%20MAPA%20DE%20RIESGOS%20APOYO%20DIGSA%20-%20AREDO%20V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ESAR/Riesgos/FORMATO%20MAPA%20DE%20RIESGOS%20APOYO%20DIGSA%20ASUNTO%20LEGALES%20V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GRUTH%20NOMBRAMIENTOS%2028%20oct%202022%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ESAR/Riesgos/FORMATO%20MAPA%20DE%20RIESGOS%20APOYO%20DIGSA%20MISIONALES%20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GRUTH%2028%20oct%202022%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IESGOS%202023/FORMATO%20MAPA%20DE%20RIESGOS%20APOYO%20DIGSA%20%20M1%20VF.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ESAR/RIESGOS%202023/FORMATO%20MAPA%20DE%20RIESGOS%20APOYO%20DIGSA%20%20M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3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aDinámica1" cacheId="3"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N15"/>
  <sheetViews>
    <sheetView view="pageBreakPreview" zoomScale="60" zoomScaleNormal="100" workbookViewId="0">
      <selection activeCell="G12" sqref="G12:M12"/>
    </sheetView>
  </sheetViews>
  <sheetFormatPr baseColWidth="10" defaultRowHeight="15" x14ac:dyDescent="0.25"/>
  <cols>
    <col min="1" max="1" width="5" customWidth="1"/>
    <col min="3" max="5" width="23.140625" customWidth="1"/>
    <col min="6" max="8" width="19.28515625" customWidth="1"/>
    <col min="9" max="11" width="20" customWidth="1"/>
    <col min="12" max="14" width="17.5703125" customWidth="1"/>
  </cols>
  <sheetData>
    <row r="2" spans="3:14" ht="28.5" customHeight="1" x14ac:dyDescent="0.25">
      <c r="C2" s="246"/>
      <c r="D2" s="246"/>
      <c r="E2" s="247" t="s">
        <v>304</v>
      </c>
      <c r="F2" s="247"/>
      <c r="G2" s="247"/>
      <c r="H2" s="247"/>
      <c r="I2" s="247"/>
      <c r="J2" s="247"/>
      <c r="K2" s="248" t="s">
        <v>214</v>
      </c>
      <c r="L2" s="248"/>
      <c r="M2" s="248"/>
      <c r="N2" s="248"/>
    </row>
    <row r="3" spans="3:14" ht="28.5" customHeight="1" x14ac:dyDescent="0.25">
      <c r="C3" s="246"/>
      <c r="D3" s="246"/>
      <c r="E3" s="247"/>
      <c r="F3" s="247"/>
      <c r="G3" s="247"/>
      <c r="H3" s="247"/>
      <c r="I3" s="247"/>
      <c r="J3" s="247"/>
      <c r="K3" s="249" t="s">
        <v>215</v>
      </c>
      <c r="L3" s="249"/>
      <c r="M3" s="249"/>
      <c r="N3" s="249"/>
    </row>
    <row r="4" spans="3:14" ht="28.5" customHeight="1" x14ac:dyDescent="0.25">
      <c r="C4" s="246"/>
      <c r="D4" s="246"/>
      <c r="E4" s="247"/>
      <c r="F4" s="247"/>
      <c r="G4" s="247"/>
      <c r="H4" s="247"/>
      <c r="I4" s="247"/>
      <c r="J4" s="247"/>
      <c r="K4" s="249" t="s">
        <v>305</v>
      </c>
      <c r="L4" s="249"/>
      <c r="M4" s="249"/>
      <c r="N4" s="249"/>
    </row>
    <row r="5" spans="3:14" x14ac:dyDescent="0.25">
      <c r="C5" s="243"/>
      <c r="D5" s="244"/>
      <c r="E5" s="244"/>
      <c r="F5" s="244"/>
      <c r="G5" s="244"/>
      <c r="H5" s="244"/>
      <c r="I5" s="244"/>
      <c r="J5" s="244"/>
      <c r="K5" s="244"/>
      <c r="L5" s="244"/>
      <c r="M5" s="244"/>
      <c r="N5" s="245"/>
    </row>
    <row r="6" spans="3:14" ht="20.25" customHeight="1" x14ac:dyDescent="0.25">
      <c r="C6" s="226" t="s">
        <v>306</v>
      </c>
      <c r="D6" s="227"/>
      <c r="E6" s="227"/>
      <c r="F6" s="227"/>
      <c r="G6" s="227"/>
      <c r="H6" s="227"/>
      <c r="I6" s="227"/>
      <c r="J6" s="227"/>
      <c r="K6" s="227"/>
      <c r="L6" s="227"/>
      <c r="M6" s="227"/>
      <c r="N6" s="228"/>
    </row>
    <row r="7" spans="3:14" ht="30.75" customHeight="1" x14ac:dyDescent="0.25">
      <c r="C7" s="229"/>
      <c r="D7" s="145" t="s">
        <v>307</v>
      </c>
      <c r="E7" s="232" t="s">
        <v>308</v>
      </c>
      <c r="F7" s="232"/>
      <c r="G7" s="232" t="s">
        <v>309</v>
      </c>
      <c r="H7" s="232"/>
      <c r="I7" s="232"/>
      <c r="J7" s="232"/>
      <c r="K7" s="232"/>
      <c r="L7" s="232"/>
      <c r="M7" s="232"/>
      <c r="N7" s="233"/>
    </row>
    <row r="8" spans="3:14" ht="51.75" customHeight="1" x14ac:dyDescent="0.25">
      <c r="C8" s="230"/>
      <c r="D8" s="146">
        <v>1</v>
      </c>
      <c r="E8" s="236" t="s">
        <v>310</v>
      </c>
      <c r="F8" s="236"/>
      <c r="G8" s="237" t="s">
        <v>311</v>
      </c>
      <c r="H8" s="237"/>
      <c r="I8" s="237"/>
      <c r="J8" s="237"/>
      <c r="K8" s="237"/>
      <c r="L8" s="237"/>
      <c r="M8" s="237"/>
      <c r="N8" s="234"/>
    </row>
    <row r="9" spans="3:14" ht="51.75" customHeight="1" x14ac:dyDescent="0.25">
      <c r="C9" s="230"/>
      <c r="D9" s="146">
        <v>2</v>
      </c>
      <c r="E9" s="236" t="s">
        <v>312</v>
      </c>
      <c r="F9" s="236"/>
      <c r="G9" s="238" t="s">
        <v>313</v>
      </c>
      <c r="H9" s="238"/>
      <c r="I9" s="238"/>
      <c r="J9" s="238"/>
      <c r="K9" s="238"/>
      <c r="L9" s="238"/>
      <c r="M9" s="238"/>
      <c r="N9" s="234"/>
    </row>
    <row r="10" spans="3:14" ht="51.75" customHeight="1" x14ac:dyDescent="0.25">
      <c r="C10" s="230"/>
      <c r="D10" s="147">
        <v>3</v>
      </c>
      <c r="E10" s="239" t="s">
        <v>314</v>
      </c>
      <c r="F10" s="239"/>
      <c r="G10" s="240" t="s">
        <v>315</v>
      </c>
      <c r="H10" s="241"/>
      <c r="I10" s="241"/>
      <c r="J10" s="241"/>
      <c r="K10" s="241"/>
      <c r="L10" s="241"/>
      <c r="M10" s="242"/>
      <c r="N10" s="234"/>
    </row>
    <row r="11" spans="3:14" ht="162" customHeight="1" x14ac:dyDescent="0.25">
      <c r="C11" s="231"/>
      <c r="D11" s="147">
        <v>4</v>
      </c>
      <c r="E11" s="239" t="s">
        <v>316</v>
      </c>
      <c r="F11" s="239"/>
      <c r="G11" s="240" t="s">
        <v>317</v>
      </c>
      <c r="H11" s="241"/>
      <c r="I11" s="241"/>
      <c r="J11" s="241"/>
      <c r="K11" s="241"/>
      <c r="L11" s="241"/>
      <c r="M11" s="242"/>
      <c r="N11" s="234"/>
    </row>
    <row r="12" spans="3:14" ht="73.5" customHeight="1" x14ac:dyDescent="0.25">
      <c r="C12" s="148"/>
      <c r="D12" s="147">
        <v>5</v>
      </c>
      <c r="E12" s="239" t="s">
        <v>318</v>
      </c>
      <c r="F12" s="239"/>
      <c r="G12" s="240" t="s">
        <v>319</v>
      </c>
      <c r="H12" s="241"/>
      <c r="I12" s="241"/>
      <c r="J12" s="241"/>
      <c r="K12" s="241"/>
      <c r="L12" s="241"/>
      <c r="M12" s="242"/>
      <c r="N12" s="235"/>
    </row>
    <row r="13" spans="3:14" ht="36.75" customHeight="1" x14ac:dyDescent="0.25">
      <c r="C13" s="226" t="s">
        <v>320</v>
      </c>
      <c r="D13" s="227"/>
      <c r="E13" s="227"/>
      <c r="F13" s="227"/>
      <c r="G13" s="227"/>
      <c r="H13" s="227"/>
      <c r="I13" s="227"/>
      <c r="J13" s="227"/>
      <c r="K13" s="227"/>
      <c r="L13" s="227"/>
      <c r="M13" s="227"/>
      <c r="N13" s="228"/>
    </row>
    <row r="14" spans="3:14" x14ac:dyDescent="0.25">
      <c r="C14" s="222" t="s">
        <v>321</v>
      </c>
      <c r="D14" s="223"/>
      <c r="E14" s="224"/>
      <c r="F14" s="222" t="s">
        <v>322</v>
      </c>
      <c r="G14" s="223"/>
      <c r="H14" s="223"/>
      <c r="I14" s="223"/>
      <c r="J14" s="223"/>
      <c r="K14" s="224"/>
      <c r="L14" s="222" t="s">
        <v>323</v>
      </c>
      <c r="M14" s="223"/>
      <c r="N14" s="224"/>
    </row>
    <row r="15" spans="3:14" ht="254.25" customHeight="1" x14ac:dyDescent="0.25">
      <c r="C15" s="225" t="s">
        <v>324</v>
      </c>
      <c r="D15" s="225"/>
      <c r="E15" s="225"/>
      <c r="F15" s="225" t="s">
        <v>325</v>
      </c>
      <c r="G15" s="225"/>
      <c r="H15" s="225"/>
      <c r="I15" s="225" t="s">
        <v>326</v>
      </c>
      <c r="J15" s="225"/>
      <c r="K15" s="225"/>
      <c r="L15" s="225" t="s">
        <v>327</v>
      </c>
      <c r="M15" s="225"/>
      <c r="N15" s="225"/>
    </row>
  </sheetData>
  <mergeCells count="29">
    <mergeCell ref="C5:N5"/>
    <mergeCell ref="C2:D4"/>
    <mergeCell ref="E2:J4"/>
    <mergeCell ref="K2:N2"/>
    <mergeCell ref="K3:N3"/>
    <mergeCell ref="K4:N4"/>
    <mergeCell ref="C13:N13"/>
    <mergeCell ref="C6:N6"/>
    <mergeCell ref="C7:C11"/>
    <mergeCell ref="E7:F7"/>
    <mergeCell ref="G7:M7"/>
    <mergeCell ref="N7:N12"/>
    <mergeCell ref="E8:F8"/>
    <mergeCell ref="G8:M8"/>
    <mergeCell ref="E9:F9"/>
    <mergeCell ref="G9:M9"/>
    <mergeCell ref="E10:F10"/>
    <mergeCell ref="G10:M10"/>
    <mergeCell ref="E11:F11"/>
    <mergeCell ref="G11:M11"/>
    <mergeCell ref="E12:F12"/>
    <mergeCell ref="G12:M12"/>
    <mergeCell ref="C14:E14"/>
    <mergeCell ref="F14:K14"/>
    <mergeCell ref="L14:N14"/>
    <mergeCell ref="C15:E15"/>
    <mergeCell ref="F15:H15"/>
    <mergeCell ref="I15:K15"/>
    <mergeCell ref="L15:N15"/>
  </mergeCells>
  <printOptions horizontalCentered="1" verticalCentered="1"/>
  <pageMargins left="0.70866141732283472" right="0.70866141732283472" top="0.4" bottom="0.45" header="0.31496062992125984" footer="0.31496062992125984"/>
  <pageSetup paperSize="5"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tabColor theme="7" tint="-0.249977111117893"/>
  </sheetPr>
  <dimension ref="B1:F16"/>
  <sheetViews>
    <sheetView workbookViewId="0">
      <selection activeCell="I14" sqref="I14"/>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45" t="s">
        <v>78</v>
      </c>
      <c r="C1" s="546"/>
      <c r="D1" s="546"/>
      <c r="E1" s="546"/>
      <c r="F1" s="547"/>
    </row>
    <row r="2" spans="2:6" ht="16.5" thickBot="1" x14ac:dyDescent="0.3">
      <c r="B2" s="75"/>
      <c r="C2" s="75"/>
      <c r="D2" s="75"/>
      <c r="E2" s="75"/>
      <c r="F2" s="75"/>
    </row>
    <row r="3" spans="2:6" ht="16.5" thickBot="1" x14ac:dyDescent="0.25">
      <c r="B3" s="549" t="s">
        <v>64</v>
      </c>
      <c r="C3" s="550"/>
      <c r="D3" s="550"/>
      <c r="E3" s="87" t="s">
        <v>65</v>
      </c>
      <c r="F3" s="88" t="s">
        <v>66</v>
      </c>
    </row>
    <row r="4" spans="2:6" ht="31.5" x14ac:dyDescent="0.2">
      <c r="B4" s="551" t="s">
        <v>67</v>
      </c>
      <c r="C4" s="553" t="s">
        <v>13</v>
      </c>
      <c r="D4" s="76" t="s">
        <v>14</v>
      </c>
      <c r="E4" s="77" t="s">
        <v>68</v>
      </c>
      <c r="F4" s="78">
        <v>0.25</v>
      </c>
    </row>
    <row r="5" spans="2:6" ht="47.25" x14ac:dyDescent="0.2">
      <c r="B5" s="552"/>
      <c r="C5" s="554"/>
      <c r="D5" s="79" t="s">
        <v>15</v>
      </c>
      <c r="E5" s="80" t="s">
        <v>69</v>
      </c>
      <c r="F5" s="81">
        <v>0.15</v>
      </c>
    </row>
    <row r="6" spans="2:6" ht="47.25" x14ac:dyDescent="0.2">
      <c r="B6" s="552"/>
      <c r="C6" s="554"/>
      <c r="D6" s="79" t="s">
        <v>16</v>
      </c>
      <c r="E6" s="80" t="s">
        <v>70</v>
      </c>
      <c r="F6" s="81">
        <v>0.1</v>
      </c>
    </row>
    <row r="7" spans="2:6" ht="63" x14ac:dyDescent="0.2">
      <c r="B7" s="552"/>
      <c r="C7" s="554" t="s">
        <v>17</v>
      </c>
      <c r="D7" s="79" t="s">
        <v>10</v>
      </c>
      <c r="E7" s="80" t="s">
        <v>71</v>
      </c>
      <c r="F7" s="81">
        <v>0.25</v>
      </c>
    </row>
    <row r="8" spans="2:6" ht="31.5" x14ac:dyDescent="0.2">
      <c r="B8" s="552"/>
      <c r="C8" s="554"/>
      <c r="D8" s="79" t="s">
        <v>9</v>
      </c>
      <c r="E8" s="80" t="s">
        <v>72</v>
      </c>
      <c r="F8" s="81">
        <v>0.15</v>
      </c>
    </row>
    <row r="9" spans="2:6" ht="47.25" x14ac:dyDescent="0.2">
      <c r="B9" s="552" t="s">
        <v>159</v>
      </c>
      <c r="C9" s="554" t="s">
        <v>18</v>
      </c>
      <c r="D9" s="79" t="s">
        <v>19</v>
      </c>
      <c r="E9" s="80" t="s">
        <v>73</v>
      </c>
      <c r="F9" s="82" t="s">
        <v>74</v>
      </c>
    </row>
    <row r="10" spans="2:6" ht="63" x14ac:dyDescent="0.2">
      <c r="B10" s="552"/>
      <c r="C10" s="554"/>
      <c r="D10" s="79" t="s">
        <v>20</v>
      </c>
      <c r="E10" s="80" t="s">
        <v>75</v>
      </c>
      <c r="F10" s="82" t="s">
        <v>74</v>
      </c>
    </row>
    <row r="11" spans="2:6" ht="47.25" x14ac:dyDescent="0.2">
      <c r="B11" s="552"/>
      <c r="C11" s="554" t="s">
        <v>21</v>
      </c>
      <c r="D11" s="79" t="s">
        <v>22</v>
      </c>
      <c r="E11" s="80" t="s">
        <v>76</v>
      </c>
      <c r="F11" s="82" t="s">
        <v>74</v>
      </c>
    </row>
    <row r="12" spans="2:6" ht="47.25" x14ac:dyDescent="0.2">
      <c r="B12" s="552"/>
      <c r="C12" s="554"/>
      <c r="D12" s="79" t="s">
        <v>23</v>
      </c>
      <c r="E12" s="80" t="s">
        <v>77</v>
      </c>
      <c r="F12" s="82" t="s">
        <v>74</v>
      </c>
    </row>
    <row r="13" spans="2:6" ht="31.5" x14ac:dyDescent="0.2">
      <c r="B13" s="552"/>
      <c r="C13" s="554" t="s">
        <v>24</v>
      </c>
      <c r="D13" s="79" t="s">
        <v>119</v>
      </c>
      <c r="E13" s="80" t="s">
        <v>122</v>
      </c>
      <c r="F13" s="82" t="s">
        <v>74</v>
      </c>
    </row>
    <row r="14" spans="2:6" ht="32.25" thickBot="1" x14ac:dyDescent="0.25">
      <c r="B14" s="555"/>
      <c r="C14" s="556"/>
      <c r="D14" s="83" t="s">
        <v>120</v>
      </c>
      <c r="E14" s="84" t="s">
        <v>121</v>
      </c>
      <c r="F14" s="85" t="s">
        <v>74</v>
      </c>
    </row>
    <row r="15" spans="2:6" ht="49.5" customHeight="1" x14ac:dyDescent="0.2">
      <c r="B15" s="548" t="s">
        <v>156</v>
      </c>
      <c r="C15" s="548"/>
      <c r="D15" s="548"/>
      <c r="E15" s="548"/>
      <c r="F15" s="548"/>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
  <sheetViews>
    <sheetView showGridLines="0" workbookViewId="0">
      <selection activeCell="F6" sqref="F6"/>
    </sheetView>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E43"/>
  <sheetViews>
    <sheetView workbookViewId="0">
      <selection activeCell="G40" sqref="G40"/>
    </sheetView>
  </sheetViews>
  <sheetFormatPr baseColWidth="10" defaultRowHeight="15" x14ac:dyDescent="0.25"/>
  <cols>
    <col min="1" max="1" width="14.42578125" customWidth="1"/>
    <col min="2" max="2" width="104.42578125" customWidth="1"/>
    <col min="3" max="3" width="22.140625" customWidth="1"/>
  </cols>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2" spans="2:5" x14ac:dyDescent="0.25">
      <c r="B12" t="s">
        <v>356</v>
      </c>
    </row>
    <row r="13" spans="2:5" x14ac:dyDescent="0.25">
      <c r="B13" t="s">
        <v>129</v>
      </c>
    </row>
    <row r="14" spans="2:5" x14ac:dyDescent="0.25">
      <c r="B14" t="s">
        <v>123</v>
      </c>
    </row>
    <row r="15" spans="2:5" x14ac:dyDescent="0.25">
      <c r="B15" t="s">
        <v>126</v>
      </c>
    </row>
    <row r="16" spans="2:5" x14ac:dyDescent="0.25">
      <c r="B16" t="s">
        <v>124</v>
      </c>
    </row>
    <row r="17" spans="1:5" x14ac:dyDescent="0.25">
      <c r="B17" t="s">
        <v>125</v>
      </c>
    </row>
    <row r="18" spans="1:5" x14ac:dyDescent="0.25">
      <c r="B18" t="s">
        <v>127</v>
      </c>
    </row>
    <row r="19" spans="1:5" x14ac:dyDescent="0.25">
      <c r="B19" t="s">
        <v>128</v>
      </c>
    </row>
    <row r="20" spans="1:5" x14ac:dyDescent="0.25">
      <c r="B20" t="s">
        <v>355</v>
      </c>
    </row>
    <row r="22" spans="1:5" ht="26.25" thickBot="1" x14ac:dyDescent="0.3">
      <c r="B22" s="121" t="s">
        <v>226</v>
      </c>
      <c r="C22" s="121" t="s">
        <v>282</v>
      </c>
      <c r="D22" s="143" t="s">
        <v>219</v>
      </c>
      <c r="E22" s="121" t="s">
        <v>217</v>
      </c>
    </row>
    <row r="23" spans="1:5" ht="15.75" thickBot="1" x14ac:dyDescent="0.3">
      <c r="A23" s="121" t="s">
        <v>217</v>
      </c>
      <c r="B23" s="121" t="s">
        <v>227</v>
      </c>
      <c r="C23" s="121" t="s">
        <v>283</v>
      </c>
      <c r="D23" s="143" t="s">
        <v>303</v>
      </c>
      <c r="E23" s="121" t="s">
        <v>229</v>
      </c>
    </row>
    <row r="24" spans="1:5" ht="15.75" thickBot="1" x14ac:dyDescent="0.3">
      <c r="A24" s="121" t="s">
        <v>217</v>
      </c>
      <c r="B24" s="121" t="s">
        <v>218</v>
      </c>
      <c r="C24" s="121" t="s">
        <v>284</v>
      </c>
      <c r="E24" s="121" t="s">
        <v>231</v>
      </c>
    </row>
    <row r="25" spans="1:5" ht="15.75" thickBot="1" x14ac:dyDescent="0.3">
      <c r="A25" s="121" t="s">
        <v>217</v>
      </c>
      <c r="B25" s="121" t="s">
        <v>228</v>
      </c>
      <c r="C25" s="121" t="s">
        <v>285</v>
      </c>
      <c r="E25" s="121" t="s">
        <v>233</v>
      </c>
    </row>
    <row r="26" spans="1:5" ht="15.75" thickBot="1" x14ac:dyDescent="0.3">
      <c r="A26" s="121" t="s">
        <v>217</v>
      </c>
      <c r="B26" s="121" t="s">
        <v>220</v>
      </c>
      <c r="C26" s="121" t="s">
        <v>223</v>
      </c>
    </row>
    <row r="27" spans="1:5" ht="15.75" thickBot="1" x14ac:dyDescent="0.3">
      <c r="A27" s="121" t="s">
        <v>229</v>
      </c>
      <c r="B27" s="121" t="s">
        <v>230</v>
      </c>
      <c r="C27" s="121" t="s">
        <v>286</v>
      </c>
    </row>
    <row r="28" spans="1:5" ht="15.75" thickBot="1" x14ac:dyDescent="0.3">
      <c r="A28" s="121" t="s">
        <v>231</v>
      </c>
      <c r="B28" s="121" t="s">
        <v>232</v>
      </c>
      <c r="C28" s="121" t="s">
        <v>287</v>
      </c>
    </row>
    <row r="29" spans="1:5" ht="15.75" thickBot="1" x14ac:dyDescent="0.3">
      <c r="A29" s="121" t="s">
        <v>233</v>
      </c>
      <c r="B29" s="121" t="s">
        <v>234</v>
      </c>
      <c r="C29" s="121" t="s">
        <v>288</v>
      </c>
    </row>
    <row r="30" spans="1:5" ht="15.75" thickBot="1" x14ac:dyDescent="0.3">
      <c r="A30" s="121" t="s">
        <v>231</v>
      </c>
      <c r="B30" s="121" t="s">
        <v>235</v>
      </c>
      <c r="C30" s="121" t="s">
        <v>289</v>
      </c>
    </row>
    <row r="31" spans="1:5" ht="15.75" thickBot="1" x14ac:dyDescent="0.3">
      <c r="A31" s="121" t="s">
        <v>231</v>
      </c>
      <c r="B31" s="121" t="s">
        <v>236</v>
      </c>
      <c r="C31" s="121" t="s">
        <v>290</v>
      </c>
    </row>
    <row r="32" spans="1:5" ht="15.75" thickBot="1" x14ac:dyDescent="0.3">
      <c r="A32" s="121" t="s">
        <v>231</v>
      </c>
      <c r="B32" s="121" t="s">
        <v>237</v>
      </c>
      <c r="C32" s="121" t="s">
        <v>291</v>
      </c>
    </row>
    <row r="33" spans="1:3" ht="15.75" thickBot="1" x14ac:dyDescent="0.3">
      <c r="A33" s="121" t="s">
        <v>233</v>
      </c>
      <c r="B33" s="121" t="s">
        <v>238</v>
      </c>
      <c r="C33" s="121" t="s">
        <v>292</v>
      </c>
    </row>
    <row r="34" spans="1:3" ht="15.75" thickBot="1" x14ac:dyDescent="0.3">
      <c r="A34" s="121" t="s">
        <v>233</v>
      </c>
      <c r="B34" s="121" t="s">
        <v>239</v>
      </c>
      <c r="C34" s="121" t="s">
        <v>293</v>
      </c>
    </row>
    <row r="35" spans="1:3" ht="15.75" thickBot="1" x14ac:dyDescent="0.3">
      <c r="A35" s="121" t="s">
        <v>233</v>
      </c>
      <c r="B35" s="121" t="s">
        <v>240</v>
      </c>
      <c r="C35" s="121" t="s">
        <v>294</v>
      </c>
    </row>
    <row r="36" spans="1:3" ht="15.75" thickBot="1" x14ac:dyDescent="0.3">
      <c r="A36" s="121" t="s">
        <v>233</v>
      </c>
      <c r="B36" s="121" t="s">
        <v>241</v>
      </c>
      <c r="C36" s="121" t="s">
        <v>295</v>
      </c>
    </row>
    <row r="37" spans="1:3" ht="15.75" thickBot="1" x14ac:dyDescent="0.3">
      <c r="A37" s="121" t="s">
        <v>233</v>
      </c>
      <c r="B37" s="121" t="s">
        <v>242</v>
      </c>
      <c r="C37" s="121" t="s">
        <v>296</v>
      </c>
    </row>
    <row r="38" spans="1:3" ht="15.75" thickBot="1" x14ac:dyDescent="0.3">
      <c r="A38" s="121" t="s">
        <v>233</v>
      </c>
      <c r="B38" s="121" t="s">
        <v>243</v>
      </c>
      <c r="C38" s="121" t="s">
        <v>297</v>
      </c>
    </row>
    <row r="39" spans="1:3" ht="15.75" thickBot="1" x14ac:dyDescent="0.3">
      <c r="A39" s="121" t="s">
        <v>231</v>
      </c>
      <c r="B39" s="121" t="s">
        <v>373</v>
      </c>
      <c r="C39" s="121" t="s">
        <v>298</v>
      </c>
    </row>
    <row r="40" spans="1:3" ht="15.75" thickBot="1" x14ac:dyDescent="0.3">
      <c r="A40" s="121" t="s">
        <v>231</v>
      </c>
      <c r="B40" s="121" t="s">
        <v>244</v>
      </c>
      <c r="C40" s="121" t="s">
        <v>299</v>
      </c>
    </row>
    <row r="41" spans="1:3" ht="15.75" thickBot="1" x14ac:dyDescent="0.3">
      <c r="A41" s="121" t="s">
        <v>231</v>
      </c>
      <c r="B41" s="121" t="s">
        <v>245</v>
      </c>
      <c r="C41" s="121" t="s">
        <v>300</v>
      </c>
    </row>
    <row r="42" spans="1:3" ht="15.75" thickBot="1" x14ac:dyDescent="0.3">
      <c r="A42" s="121" t="s">
        <v>231</v>
      </c>
      <c r="B42" s="121" t="s">
        <v>246</v>
      </c>
      <c r="C42" s="121" t="s">
        <v>301</v>
      </c>
    </row>
    <row r="43" spans="1:3" ht="15.75" thickBot="1" x14ac:dyDescent="0.3">
      <c r="A43" s="121" t="s">
        <v>231</v>
      </c>
      <c r="B43" s="121" t="s">
        <v>377</v>
      </c>
      <c r="C43" s="121" t="s">
        <v>302</v>
      </c>
    </row>
  </sheetData>
  <sortState xmlns:xlrd2="http://schemas.microsoft.com/office/spreadsheetml/2017/richdata2" ref="B2:B5">
    <sortCondition ref="B2:B5"/>
  </sortState>
  <dataValidations count="1">
    <dataValidation type="list" allowBlank="1" showInputMessage="1" showErrorMessage="1" sqref="B25" xr:uid="{00000000-0002-0000-0B00-000000000000}">
      <formula1>$A$22:$A$43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3:A21"/>
  <sheetViews>
    <sheetView topLeftCell="A4" workbookViewId="0">
      <selection activeCell="A10" sqref="A10"/>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3:H54"/>
  <sheetViews>
    <sheetView view="pageBreakPreview" topLeftCell="A43" zoomScale="86" zoomScaleNormal="110" zoomScaleSheetLayoutView="86" workbookViewId="0">
      <selection activeCell="C79" sqref="C79"/>
    </sheetView>
  </sheetViews>
  <sheetFormatPr baseColWidth="10" defaultRowHeight="15" x14ac:dyDescent="0.2"/>
  <cols>
    <col min="1" max="1" width="2.85546875" style="149" customWidth="1"/>
    <col min="2" max="6" width="38.140625" style="149" customWidth="1"/>
    <col min="7" max="7" width="8.140625" style="149" customWidth="1"/>
    <col min="8" max="8" width="5.85546875" style="149" customWidth="1"/>
    <col min="9" max="16384" width="11.42578125" style="149"/>
  </cols>
  <sheetData>
    <row r="3" spans="2:8" ht="15.75" thickBot="1" x14ac:dyDescent="0.25"/>
    <row r="4" spans="2:8" ht="20.25" x14ac:dyDescent="0.2">
      <c r="B4" s="278" t="s">
        <v>328</v>
      </c>
      <c r="C4" s="279"/>
      <c r="D4" s="279"/>
      <c r="E4" s="279"/>
      <c r="F4" s="279"/>
      <c r="G4" s="279"/>
      <c r="H4" s="280"/>
    </row>
    <row r="5" spans="2:8" x14ac:dyDescent="0.2">
      <c r="B5" s="150"/>
      <c r="C5" s="151"/>
      <c r="D5" s="151"/>
      <c r="E5" s="151"/>
      <c r="F5" s="151"/>
      <c r="G5" s="151"/>
      <c r="H5" s="152"/>
    </row>
    <row r="6" spans="2:8" ht="63" customHeight="1" x14ac:dyDescent="0.2">
      <c r="B6" s="281" t="s">
        <v>343</v>
      </c>
      <c r="C6" s="282"/>
      <c r="D6" s="282"/>
      <c r="E6" s="282"/>
      <c r="F6" s="282"/>
      <c r="G6" s="282"/>
      <c r="H6" s="283"/>
    </row>
    <row r="7" spans="2:8" ht="97.5" customHeight="1" x14ac:dyDescent="0.2">
      <c r="B7" s="284"/>
      <c r="C7" s="285"/>
      <c r="D7" s="285"/>
      <c r="E7" s="285"/>
      <c r="F7" s="285"/>
      <c r="G7" s="285"/>
      <c r="H7" s="286"/>
    </row>
    <row r="8" spans="2:8" x14ac:dyDescent="0.2">
      <c r="B8" s="287" t="s">
        <v>161</v>
      </c>
      <c r="C8" s="288"/>
      <c r="D8" s="288"/>
      <c r="E8" s="288"/>
      <c r="F8" s="288"/>
      <c r="G8" s="288"/>
      <c r="H8" s="289"/>
    </row>
    <row r="9" spans="2:8" ht="126.75" customHeight="1" x14ac:dyDescent="0.2">
      <c r="B9" s="290" t="s">
        <v>344</v>
      </c>
      <c r="C9" s="291"/>
      <c r="D9" s="291"/>
      <c r="E9" s="291"/>
      <c r="F9" s="291"/>
      <c r="G9" s="291"/>
      <c r="H9" s="292"/>
    </row>
    <row r="10" spans="2:8" x14ac:dyDescent="0.2">
      <c r="B10" s="153"/>
      <c r="C10" s="154"/>
      <c r="D10" s="154"/>
      <c r="E10" s="154"/>
      <c r="F10" s="154"/>
      <c r="G10" s="154"/>
      <c r="H10" s="155"/>
    </row>
    <row r="11" spans="2:8" ht="16.5" customHeight="1" x14ac:dyDescent="0.2">
      <c r="B11" s="293" t="s">
        <v>345</v>
      </c>
      <c r="C11" s="294"/>
      <c r="D11" s="294"/>
      <c r="E11" s="294"/>
      <c r="F11" s="294"/>
      <c r="G11" s="294"/>
      <c r="H11" s="295"/>
    </row>
    <row r="12" spans="2:8" ht="44.25" customHeight="1" x14ac:dyDescent="0.2">
      <c r="B12" s="293"/>
      <c r="C12" s="294"/>
      <c r="D12" s="294"/>
      <c r="E12" s="294"/>
      <c r="F12" s="294"/>
      <c r="G12" s="294"/>
      <c r="H12" s="295"/>
    </row>
    <row r="13" spans="2:8" ht="15.75" thickBot="1" x14ac:dyDescent="0.25">
      <c r="B13" s="156"/>
      <c r="C13" s="157"/>
      <c r="D13" s="158"/>
      <c r="E13" s="158"/>
      <c r="F13" s="158"/>
      <c r="G13" s="159"/>
      <c r="H13" s="160"/>
    </row>
    <row r="14" spans="2:8" ht="15.75" thickTop="1" x14ac:dyDescent="0.2">
      <c r="B14" s="156"/>
      <c r="C14" s="274" t="s">
        <v>162</v>
      </c>
      <c r="D14" s="275"/>
      <c r="E14" s="276" t="s">
        <v>200</v>
      </c>
      <c r="F14" s="277"/>
      <c r="G14" s="157"/>
      <c r="H14" s="160"/>
    </row>
    <row r="15" spans="2:8" ht="36.75" customHeight="1" x14ac:dyDescent="0.2">
      <c r="B15" s="156"/>
      <c r="C15" s="268" t="s">
        <v>193</v>
      </c>
      <c r="D15" s="269"/>
      <c r="E15" s="266" t="s">
        <v>198</v>
      </c>
      <c r="F15" s="267"/>
      <c r="G15" s="157"/>
      <c r="H15" s="160"/>
    </row>
    <row r="16" spans="2:8" ht="17.25" customHeight="1" x14ac:dyDescent="0.2">
      <c r="B16" s="156"/>
      <c r="C16" s="268" t="s">
        <v>194</v>
      </c>
      <c r="D16" s="269"/>
      <c r="E16" s="266" t="s">
        <v>196</v>
      </c>
      <c r="F16" s="267"/>
      <c r="G16" s="157"/>
      <c r="H16" s="160"/>
    </row>
    <row r="17" spans="2:8" ht="19.5" customHeight="1" x14ac:dyDescent="0.2">
      <c r="B17" s="156"/>
      <c r="C17" s="268" t="s">
        <v>195</v>
      </c>
      <c r="D17" s="269"/>
      <c r="E17" s="266" t="s">
        <v>197</v>
      </c>
      <c r="F17" s="267"/>
      <c r="G17" s="157"/>
      <c r="H17" s="160"/>
    </row>
    <row r="18" spans="2:8" ht="19.5" customHeight="1" x14ac:dyDescent="0.2">
      <c r="B18" s="156"/>
      <c r="C18" s="268" t="s">
        <v>329</v>
      </c>
      <c r="D18" s="269"/>
      <c r="E18" s="270" t="s">
        <v>330</v>
      </c>
      <c r="F18" s="271"/>
      <c r="G18" s="157"/>
      <c r="H18" s="160"/>
    </row>
    <row r="19" spans="2:8" ht="98.25" customHeight="1" x14ac:dyDescent="0.2">
      <c r="B19" s="156"/>
      <c r="C19" s="272" t="s">
        <v>164</v>
      </c>
      <c r="D19" s="273"/>
      <c r="E19" s="266" t="s">
        <v>165</v>
      </c>
      <c r="F19" s="267"/>
      <c r="G19" s="157"/>
      <c r="H19" s="160"/>
    </row>
    <row r="20" spans="2:8" ht="51.75" customHeight="1" x14ac:dyDescent="0.2">
      <c r="B20" s="156"/>
      <c r="C20" s="264" t="s">
        <v>193</v>
      </c>
      <c r="D20" s="265"/>
      <c r="E20" s="266" t="s">
        <v>331</v>
      </c>
      <c r="F20" s="267"/>
      <c r="G20" s="157"/>
      <c r="H20" s="160"/>
    </row>
    <row r="21" spans="2:8" ht="58.5" customHeight="1" x14ac:dyDescent="0.2">
      <c r="B21" s="156"/>
      <c r="C21" s="264" t="s">
        <v>211</v>
      </c>
      <c r="D21" s="265"/>
      <c r="E21" s="266" t="s">
        <v>332</v>
      </c>
      <c r="F21" s="267"/>
      <c r="G21" s="157"/>
      <c r="H21" s="160"/>
    </row>
    <row r="22" spans="2:8" ht="34.5" customHeight="1" x14ac:dyDescent="0.2">
      <c r="B22" s="156"/>
      <c r="C22" s="262" t="s">
        <v>2</v>
      </c>
      <c r="D22" s="263"/>
      <c r="E22" s="256" t="s">
        <v>207</v>
      </c>
      <c r="F22" s="257"/>
      <c r="G22" s="157"/>
      <c r="H22" s="160"/>
    </row>
    <row r="23" spans="2:8" ht="48.75" customHeight="1" x14ac:dyDescent="0.2">
      <c r="B23" s="156"/>
      <c r="C23" s="262" t="s">
        <v>3</v>
      </c>
      <c r="D23" s="263"/>
      <c r="E23" s="256" t="s">
        <v>208</v>
      </c>
      <c r="F23" s="257"/>
      <c r="G23" s="157"/>
      <c r="H23" s="160"/>
    </row>
    <row r="24" spans="2:8" ht="42" customHeight="1" x14ac:dyDescent="0.2">
      <c r="B24" s="156"/>
      <c r="C24" s="262" t="s">
        <v>42</v>
      </c>
      <c r="D24" s="263"/>
      <c r="E24" s="256" t="s">
        <v>209</v>
      </c>
      <c r="F24" s="257"/>
      <c r="G24" s="157"/>
      <c r="H24" s="160"/>
    </row>
    <row r="25" spans="2:8" ht="61.5" customHeight="1" x14ac:dyDescent="0.2">
      <c r="B25" s="156"/>
      <c r="C25" s="262" t="s">
        <v>333</v>
      </c>
      <c r="D25" s="263"/>
      <c r="E25" s="256" t="s">
        <v>334</v>
      </c>
      <c r="F25" s="257"/>
      <c r="G25" s="157"/>
      <c r="H25" s="160"/>
    </row>
    <row r="26" spans="2:8" ht="98.25" customHeight="1" x14ac:dyDescent="0.2">
      <c r="B26" s="156"/>
      <c r="C26" s="254" t="s">
        <v>1</v>
      </c>
      <c r="D26" s="255"/>
      <c r="E26" s="256" t="s">
        <v>346</v>
      </c>
      <c r="F26" s="257"/>
      <c r="G26" s="157"/>
      <c r="H26" s="160"/>
    </row>
    <row r="27" spans="2:8" ht="96" customHeight="1" x14ac:dyDescent="0.2">
      <c r="B27" s="156"/>
      <c r="C27" s="262" t="s">
        <v>50</v>
      </c>
      <c r="D27" s="263"/>
      <c r="E27" s="256" t="s">
        <v>168</v>
      </c>
      <c r="F27" s="257"/>
      <c r="G27" s="157"/>
      <c r="H27" s="160"/>
    </row>
    <row r="28" spans="2:8" ht="81" customHeight="1" x14ac:dyDescent="0.2">
      <c r="B28" s="156"/>
      <c r="C28" s="262" t="s">
        <v>167</v>
      </c>
      <c r="D28" s="263"/>
      <c r="E28" s="256" t="s">
        <v>169</v>
      </c>
      <c r="F28" s="257"/>
      <c r="G28" s="157"/>
      <c r="H28" s="160"/>
    </row>
    <row r="29" spans="2:8" ht="75" customHeight="1" x14ac:dyDescent="0.2">
      <c r="B29" s="156"/>
      <c r="C29" s="254" t="s">
        <v>170</v>
      </c>
      <c r="D29" s="255"/>
      <c r="E29" s="256" t="s">
        <v>171</v>
      </c>
      <c r="F29" s="257"/>
      <c r="G29" s="157"/>
      <c r="H29" s="160"/>
    </row>
    <row r="30" spans="2:8" ht="53.25" customHeight="1" x14ac:dyDescent="0.2">
      <c r="B30" s="156"/>
      <c r="C30" s="254" t="s">
        <v>48</v>
      </c>
      <c r="D30" s="255"/>
      <c r="E30" s="256" t="s">
        <v>172</v>
      </c>
      <c r="F30" s="257"/>
      <c r="G30" s="157"/>
      <c r="H30" s="160"/>
    </row>
    <row r="31" spans="2:8" ht="63" customHeight="1" x14ac:dyDescent="0.2">
      <c r="B31" s="156"/>
      <c r="C31" s="254" t="s">
        <v>160</v>
      </c>
      <c r="D31" s="255"/>
      <c r="E31" s="256" t="s">
        <v>347</v>
      </c>
      <c r="F31" s="257"/>
      <c r="G31" s="157"/>
      <c r="H31" s="160"/>
    </row>
    <row r="32" spans="2:8" ht="23.25" customHeight="1" x14ac:dyDescent="0.2">
      <c r="B32" s="156"/>
      <c r="C32" s="254" t="s">
        <v>12</v>
      </c>
      <c r="D32" s="255"/>
      <c r="E32" s="256" t="s">
        <v>174</v>
      </c>
      <c r="F32" s="257"/>
      <c r="G32" s="157"/>
      <c r="H32" s="160"/>
    </row>
    <row r="33" spans="2:8" ht="30.75" customHeight="1" x14ac:dyDescent="0.2">
      <c r="B33" s="156"/>
      <c r="C33" s="254" t="s">
        <v>335</v>
      </c>
      <c r="D33" s="255"/>
      <c r="E33" s="256" t="s">
        <v>175</v>
      </c>
      <c r="F33" s="257"/>
      <c r="G33" s="157"/>
      <c r="H33" s="160"/>
    </row>
    <row r="34" spans="2:8" ht="35.25" customHeight="1" x14ac:dyDescent="0.2">
      <c r="B34" s="156"/>
      <c r="C34" s="254" t="s">
        <v>336</v>
      </c>
      <c r="D34" s="255"/>
      <c r="E34" s="256" t="s">
        <v>176</v>
      </c>
      <c r="F34" s="257"/>
      <c r="G34" s="157"/>
      <c r="H34" s="160"/>
    </row>
    <row r="35" spans="2:8" ht="33" customHeight="1" x14ac:dyDescent="0.2">
      <c r="B35" s="156"/>
      <c r="C35" s="254" t="s">
        <v>336</v>
      </c>
      <c r="D35" s="255"/>
      <c r="E35" s="256" t="s">
        <v>176</v>
      </c>
      <c r="F35" s="257"/>
      <c r="G35" s="157"/>
      <c r="H35" s="160"/>
    </row>
    <row r="36" spans="2:8" ht="30" customHeight="1" x14ac:dyDescent="0.2">
      <c r="B36" s="156"/>
      <c r="C36" s="254" t="s">
        <v>337</v>
      </c>
      <c r="D36" s="255"/>
      <c r="E36" s="256" t="s">
        <v>177</v>
      </c>
      <c r="F36" s="257"/>
      <c r="G36" s="157"/>
      <c r="H36" s="160"/>
    </row>
    <row r="37" spans="2:8" ht="35.25" customHeight="1" x14ac:dyDescent="0.2">
      <c r="B37" s="156"/>
      <c r="C37" s="254" t="s">
        <v>338</v>
      </c>
      <c r="D37" s="255"/>
      <c r="E37" s="256" t="s">
        <v>182</v>
      </c>
      <c r="F37" s="257"/>
      <c r="G37" s="157"/>
      <c r="H37" s="160"/>
    </row>
    <row r="38" spans="2:8" ht="31.5" customHeight="1" x14ac:dyDescent="0.2">
      <c r="B38" s="156"/>
      <c r="C38" s="254" t="s">
        <v>339</v>
      </c>
      <c r="D38" s="255"/>
      <c r="E38" s="256" t="s">
        <v>184</v>
      </c>
      <c r="F38" s="257"/>
      <c r="G38" s="157"/>
      <c r="H38" s="160"/>
    </row>
    <row r="39" spans="2:8" ht="35.25" customHeight="1" x14ac:dyDescent="0.2">
      <c r="B39" s="156"/>
      <c r="C39" s="254" t="s">
        <v>340</v>
      </c>
      <c r="D39" s="255"/>
      <c r="E39" s="256" t="s">
        <v>186</v>
      </c>
      <c r="F39" s="257"/>
      <c r="G39" s="157"/>
      <c r="H39" s="160"/>
    </row>
    <row r="40" spans="2:8" ht="59.25" customHeight="1" x14ac:dyDescent="0.2">
      <c r="B40" s="156"/>
      <c r="C40" s="254" t="s">
        <v>187</v>
      </c>
      <c r="D40" s="255"/>
      <c r="E40" s="256" t="s">
        <v>348</v>
      </c>
      <c r="F40" s="257"/>
      <c r="G40" s="157"/>
      <c r="H40" s="160"/>
    </row>
    <row r="41" spans="2:8" ht="57" customHeight="1" x14ac:dyDescent="0.2">
      <c r="B41" s="156"/>
      <c r="C41" s="254" t="s">
        <v>29</v>
      </c>
      <c r="D41" s="255"/>
      <c r="E41" s="256" t="s">
        <v>189</v>
      </c>
      <c r="F41" s="257"/>
      <c r="G41" s="157"/>
      <c r="H41" s="160"/>
    </row>
    <row r="42" spans="2:8" ht="111" customHeight="1" x14ac:dyDescent="0.2">
      <c r="B42" s="156"/>
      <c r="C42" s="254" t="s">
        <v>341</v>
      </c>
      <c r="D42" s="255"/>
      <c r="E42" s="256" t="s">
        <v>190</v>
      </c>
      <c r="F42" s="257"/>
      <c r="G42" s="157"/>
      <c r="H42" s="160"/>
    </row>
    <row r="43" spans="2:8" ht="69" customHeight="1" x14ac:dyDescent="0.2">
      <c r="B43" s="156"/>
      <c r="C43" s="254" t="s">
        <v>39</v>
      </c>
      <c r="D43" s="255"/>
      <c r="E43" s="256" t="s">
        <v>192</v>
      </c>
      <c r="F43" s="257"/>
      <c r="G43" s="157"/>
      <c r="H43" s="160"/>
    </row>
    <row r="44" spans="2:8" ht="6.75" customHeight="1" thickBot="1" x14ac:dyDescent="0.25">
      <c r="B44" s="156"/>
      <c r="C44" s="258"/>
      <c r="D44" s="259"/>
      <c r="E44" s="260"/>
      <c r="F44" s="261"/>
      <c r="G44" s="157"/>
      <c r="H44" s="160"/>
    </row>
    <row r="45" spans="2:8" ht="15.75" thickTop="1" x14ac:dyDescent="0.2">
      <c r="B45" s="156"/>
      <c r="C45" s="161"/>
      <c r="D45" s="161"/>
      <c r="E45" s="162"/>
      <c r="F45" s="162"/>
      <c r="G45" s="157"/>
      <c r="H45" s="160"/>
    </row>
    <row r="46" spans="2:8" ht="35.25" customHeight="1" x14ac:dyDescent="0.2">
      <c r="B46" s="251" t="s">
        <v>349</v>
      </c>
      <c r="C46" s="252"/>
      <c r="D46" s="252"/>
      <c r="E46" s="252"/>
      <c r="F46" s="252"/>
      <c r="G46" s="252"/>
      <c r="H46" s="253"/>
    </row>
    <row r="47" spans="2:8" ht="32.25" customHeight="1" x14ac:dyDescent="0.2">
      <c r="B47" s="251" t="s">
        <v>350</v>
      </c>
      <c r="C47" s="252"/>
      <c r="D47" s="252"/>
      <c r="E47" s="252"/>
      <c r="F47" s="252"/>
      <c r="G47" s="252"/>
      <c r="H47" s="253"/>
    </row>
    <row r="48" spans="2:8" ht="21" customHeight="1" x14ac:dyDescent="0.2">
      <c r="B48" s="251" t="s">
        <v>351</v>
      </c>
      <c r="C48" s="252"/>
      <c r="D48" s="252"/>
      <c r="E48" s="252"/>
      <c r="F48" s="252"/>
      <c r="G48" s="252"/>
      <c r="H48" s="253"/>
    </row>
    <row r="49" spans="2:8" ht="18" customHeight="1" x14ac:dyDescent="0.2">
      <c r="B49" s="251" t="s">
        <v>352</v>
      </c>
      <c r="C49" s="252"/>
      <c r="D49" s="252"/>
      <c r="E49" s="252"/>
      <c r="F49" s="252"/>
      <c r="G49" s="252"/>
      <c r="H49" s="253"/>
    </row>
    <row r="50" spans="2:8" ht="18" customHeight="1" x14ac:dyDescent="0.2">
      <c r="B50" s="251" t="s">
        <v>353</v>
      </c>
      <c r="C50" s="252"/>
      <c r="D50" s="252"/>
      <c r="E50" s="252"/>
      <c r="F50" s="252"/>
      <c r="G50" s="252"/>
      <c r="H50" s="253"/>
    </row>
    <row r="51" spans="2:8" ht="18" customHeight="1" x14ac:dyDescent="0.2">
      <c r="B51" s="251" t="s">
        <v>354</v>
      </c>
      <c r="C51" s="252"/>
      <c r="D51" s="252"/>
      <c r="E51" s="252"/>
      <c r="F51" s="252"/>
      <c r="G51" s="252"/>
      <c r="H51" s="253"/>
    </row>
    <row r="52" spans="2:8" ht="15.75" thickBot="1" x14ac:dyDescent="0.25">
      <c r="B52" s="163"/>
      <c r="C52" s="164"/>
      <c r="D52" s="164"/>
      <c r="E52" s="164"/>
      <c r="F52" s="164"/>
      <c r="G52" s="164"/>
      <c r="H52" s="165"/>
    </row>
    <row r="54" spans="2:8" ht="48.75" customHeight="1" x14ac:dyDescent="0.2">
      <c r="B54" s="250" t="s">
        <v>342</v>
      </c>
      <c r="C54" s="250"/>
      <c r="D54" s="250"/>
      <c r="E54" s="250"/>
      <c r="F54" s="250"/>
      <c r="G54" s="250"/>
      <c r="H54" s="250"/>
    </row>
  </sheetData>
  <mergeCells count="74">
    <mergeCell ref="C14:D14"/>
    <mergeCell ref="E14:F14"/>
    <mergeCell ref="B4:H4"/>
    <mergeCell ref="B6:H7"/>
    <mergeCell ref="B8:H8"/>
    <mergeCell ref="B9:H9"/>
    <mergeCell ref="B11:H12"/>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B54:H54"/>
    <mergeCell ref="B46:H46"/>
    <mergeCell ref="B47:H47"/>
    <mergeCell ref="B48:H48"/>
    <mergeCell ref="B49:H49"/>
    <mergeCell ref="B50:H50"/>
    <mergeCell ref="B51:H51"/>
  </mergeCells>
  <pageMargins left="0.70866141732283472" right="0.53" top="0.39370078740157483" bottom="0.31496062992125984" header="0.31496062992125984" footer="0.31496062992125984"/>
  <pageSetup paperSize="5"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H45"/>
  <sheetViews>
    <sheetView zoomScale="110" zoomScaleNormal="110" workbookViewId="0">
      <selection activeCell="C13" sqref="C13:D1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96" t="s">
        <v>163</v>
      </c>
      <c r="C2" s="297"/>
      <c r="D2" s="297"/>
      <c r="E2" s="297"/>
      <c r="F2" s="297"/>
      <c r="G2" s="297"/>
      <c r="H2" s="298"/>
    </row>
    <row r="3" spans="2:8" x14ac:dyDescent="0.25">
      <c r="B3" s="70"/>
      <c r="C3" s="71"/>
      <c r="D3" s="71"/>
      <c r="E3" s="71"/>
      <c r="F3" s="71"/>
      <c r="G3" s="71"/>
      <c r="H3" s="72"/>
    </row>
    <row r="4" spans="2:8" ht="63" customHeight="1" x14ac:dyDescent="0.25">
      <c r="B4" s="299" t="s">
        <v>206</v>
      </c>
      <c r="C4" s="300"/>
      <c r="D4" s="300"/>
      <c r="E4" s="300"/>
      <c r="F4" s="300"/>
      <c r="G4" s="300"/>
      <c r="H4" s="301"/>
    </row>
    <row r="5" spans="2:8" ht="63" customHeight="1" x14ac:dyDescent="0.25">
      <c r="B5" s="302"/>
      <c r="C5" s="303"/>
      <c r="D5" s="303"/>
      <c r="E5" s="303"/>
      <c r="F5" s="303"/>
      <c r="G5" s="303"/>
      <c r="H5" s="304"/>
    </row>
    <row r="6" spans="2:8" ht="16.5" x14ac:dyDescent="0.25">
      <c r="B6" s="305" t="s">
        <v>161</v>
      </c>
      <c r="C6" s="306"/>
      <c r="D6" s="306"/>
      <c r="E6" s="306"/>
      <c r="F6" s="306"/>
      <c r="G6" s="306"/>
      <c r="H6" s="307"/>
    </row>
    <row r="7" spans="2:8" ht="95.25" customHeight="1" x14ac:dyDescent="0.25">
      <c r="B7" s="315" t="s">
        <v>166</v>
      </c>
      <c r="C7" s="316"/>
      <c r="D7" s="316"/>
      <c r="E7" s="316"/>
      <c r="F7" s="316"/>
      <c r="G7" s="316"/>
      <c r="H7" s="317"/>
    </row>
    <row r="8" spans="2:8" ht="16.5" x14ac:dyDescent="0.25">
      <c r="B8" s="106"/>
      <c r="C8" s="107"/>
      <c r="D8" s="107"/>
      <c r="E8" s="107"/>
      <c r="F8" s="107"/>
      <c r="G8" s="107"/>
      <c r="H8" s="108"/>
    </row>
    <row r="9" spans="2:8" ht="16.5" customHeight="1" x14ac:dyDescent="0.25">
      <c r="B9" s="308" t="s">
        <v>199</v>
      </c>
      <c r="C9" s="309"/>
      <c r="D9" s="309"/>
      <c r="E9" s="309"/>
      <c r="F9" s="309"/>
      <c r="G9" s="309"/>
      <c r="H9" s="310"/>
    </row>
    <row r="10" spans="2:8" ht="44.25" customHeight="1" x14ac:dyDescent="0.25">
      <c r="B10" s="308"/>
      <c r="C10" s="309"/>
      <c r="D10" s="309"/>
      <c r="E10" s="309"/>
      <c r="F10" s="309"/>
      <c r="G10" s="309"/>
      <c r="H10" s="310"/>
    </row>
    <row r="11" spans="2:8" ht="15.75" thickBot="1" x14ac:dyDescent="0.3">
      <c r="B11" s="95"/>
      <c r="C11" s="98"/>
      <c r="D11" s="103"/>
      <c r="E11" s="104"/>
      <c r="F11" s="104"/>
      <c r="G11" s="105"/>
      <c r="H11" s="99"/>
    </row>
    <row r="12" spans="2:8" ht="15.75" thickTop="1" x14ac:dyDescent="0.25">
      <c r="B12" s="95"/>
      <c r="C12" s="311" t="s">
        <v>162</v>
      </c>
      <c r="D12" s="312"/>
      <c r="E12" s="313" t="s">
        <v>200</v>
      </c>
      <c r="F12" s="314"/>
      <c r="G12" s="98"/>
      <c r="H12" s="99"/>
    </row>
    <row r="13" spans="2:8" ht="35.25" customHeight="1" x14ac:dyDescent="0.25">
      <c r="B13" s="95"/>
      <c r="C13" s="318" t="s">
        <v>193</v>
      </c>
      <c r="D13" s="319"/>
      <c r="E13" s="320" t="s">
        <v>198</v>
      </c>
      <c r="F13" s="321"/>
      <c r="G13" s="98"/>
      <c r="H13" s="99"/>
    </row>
    <row r="14" spans="2:8" ht="17.25" customHeight="1" x14ac:dyDescent="0.25">
      <c r="B14" s="95"/>
      <c r="C14" s="318" t="s">
        <v>194</v>
      </c>
      <c r="D14" s="319"/>
      <c r="E14" s="320" t="s">
        <v>196</v>
      </c>
      <c r="F14" s="321"/>
      <c r="G14" s="98"/>
      <c r="H14" s="99"/>
    </row>
    <row r="15" spans="2:8" ht="19.5" customHeight="1" x14ac:dyDescent="0.25">
      <c r="B15" s="95"/>
      <c r="C15" s="318" t="s">
        <v>195</v>
      </c>
      <c r="D15" s="319"/>
      <c r="E15" s="320" t="s">
        <v>197</v>
      </c>
      <c r="F15" s="321"/>
      <c r="G15" s="98"/>
      <c r="H15" s="99"/>
    </row>
    <row r="16" spans="2:8" ht="69.75" customHeight="1" x14ac:dyDescent="0.25">
      <c r="B16" s="95"/>
      <c r="C16" s="318" t="s">
        <v>164</v>
      </c>
      <c r="D16" s="319"/>
      <c r="E16" s="320" t="s">
        <v>165</v>
      </c>
      <c r="F16" s="321"/>
      <c r="G16" s="98"/>
      <c r="H16" s="99"/>
    </row>
    <row r="17" spans="2:8" ht="34.5" customHeight="1" x14ac:dyDescent="0.25">
      <c r="B17" s="95"/>
      <c r="C17" s="322" t="s">
        <v>2</v>
      </c>
      <c r="D17" s="323"/>
      <c r="E17" s="324" t="s">
        <v>207</v>
      </c>
      <c r="F17" s="325"/>
      <c r="G17" s="98"/>
      <c r="H17" s="99"/>
    </row>
    <row r="18" spans="2:8" ht="27.75" customHeight="1" x14ac:dyDescent="0.25">
      <c r="B18" s="95"/>
      <c r="C18" s="322" t="s">
        <v>3</v>
      </c>
      <c r="D18" s="323"/>
      <c r="E18" s="324" t="s">
        <v>208</v>
      </c>
      <c r="F18" s="325"/>
      <c r="G18" s="98"/>
      <c r="H18" s="99"/>
    </row>
    <row r="19" spans="2:8" ht="28.5" customHeight="1" x14ac:dyDescent="0.25">
      <c r="B19" s="95"/>
      <c r="C19" s="322" t="s">
        <v>42</v>
      </c>
      <c r="D19" s="323"/>
      <c r="E19" s="324" t="s">
        <v>209</v>
      </c>
      <c r="F19" s="325"/>
      <c r="G19" s="98"/>
      <c r="H19" s="99"/>
    </row>
    <row r="20" spans="2:8" ht="72.75" customHeight="1" x14ac:dyDescent="0.25">
      <c r="B20" s="95"/>
      <c r="C20" s="322" t="s">
        <v>1</v>
      </c>
      <c r="D20" s="323"/>
      <c r="E20" s="324" t="s">
        <v>210</v>
      </c>
      <c r="F20" s="325"/>
      <c r="G20" s="98"/>
      <c r="H20" s="99"/>
    </row>
    <row r="21" spans="2:8" ht="64.5" customHeight="1" x14ac:dyDescent="0.25">
      <c r="B21" s="95"/>
      <c r="C21" s="322" t="s">
        <v>50</v>
      </c>
      <c r="D21" s="323"/>
      <c r="E21" s="324" t="s">
        <v>168</v>
      </c>
      <c r="F21" s="325"/>
      <c r="G21" s="98"/>
      <c r="H21" s="99"/>
    </row>
    <row r="22" spans="2:8" ht="71.25" customHeight="1" x14ac:dyDescent="0.25">
      <c r="B22" s="95"/>
      <c r="C22" s="322" t="s">
        <v>167</v>
      </c>
      <c r="D22" s="323"/>
      <c r="E22" s="324" t="s">
        <v>169</v>
      </c>
      <c r="F22" s="325"/>
      <c r="G22" s="98"/>
      <c r="H22" s="99"/>
    </row>
    <row r="23" spans="2:8" ht="55.5" customHeight="1" x14ac:dyDescent="0.25">
      <c r="B23" s="95"/>
      <c r="C23" s="329" t="s">
        <v>170</v>
      </c>
      <c r="D23" s="330"/>
      <c r="E23" s="324" t="s">
        <v>171</v>
      </c>
      <c r="F23" s="325"/>
      <c r="G23" s="98"/>
      <c r="H23" s="99"/>
    </row>
    <row r="24" spans="2:8" ht="42" customHeight="1" x14ac:dyDescent="0.25">
      <c r="B24" s="95"/>
      <c r="C24" s="329" t="s">
        <v>48</v>
      </c>
      <c r="D24" s="330"/>
      <c r="E24" s="324" t="s">
        <v>172</v>
      </c>
      <c r="F24" s="325"/>
      <c r="G24" s="98"/>
      <c r="H24" s="99"/>
    </row>
    <row r="25" spans="2:8" ht="59.25" customHeight="1" x14ac:dyDescent="0.25">
      <c r="B25" s="95"/>
      <c r="C25" s="329" t="s">
        <v>160</v>
      </c>
      <c r="D25" s="330"/>
      <c r="E25" s="324" t="s">
        <v>173</v>
      </c>
      <c r="F25" s="325"/>
      <c r="G25" s="98"/>
      <c r="H25" s="99"/>
    </row>
    <row r="26" spans="2:8" ht="23.25" customHeight="1" x14ac:dyDescent="0.25">
      <c r="B26" s="95"/>
      <c r="C26" s="329" t="s">
        <v>12</v>
      </c>
      <c r="D26" s="330"/>
      <c r="E26" s="324" t="s">
        <v>174</v>
      </c>
      <c r="F26" s="325"/>
      <c r="G26" s="98"/>
      <c r="H26" s="99"/>
    </row>
    <row r="27" spans="2:8" ht="30.75" customHeight="1" x14ac:dyDescent="0.25">
      <c r="B27" s="95"/>
      <c r="C27" s="329" t="s">
        <v>178</v>
      </c>
      <c r="D27" s="330"/>
      <c r="E27" s="324" t="s">
        <v>175</v>
      </c>
      <c r="F27" s="325"/>
      <c r="G27" s="98"/>
      <c r="H27" s="99"/>
    </row>
    <row r="28" spans="2:8" ht="35.25" customHeight="1" x14ac:dyDescent="0.25">
      <c r="B28" s="95"/>
      <c r="C28" s="329" t="s">
        <v>179</v>
      </c>
      <c r="D28" s="330"/>
      <c r="E28" s="324" t="s">
        <v>176</v>
      </c>
      <c r="F28" s="325"/>
      <c r="G28" s="98"/>
      <c r="H28" s="99"/>
    </row>
    <row r="29" spans="2:8" ht="33" customHeight="1" x14ac:dyDescent="0.25">
      <c r="B29" s="95"/>
      <c r="C29" s="329" t="s">
        <v>179</v>
      </c>
      <c r="D29" s="330"/>
      <c r="E29" s="324" t="s">
        <v>176</v>
      </c>
      <c r="F29" s="325"/>
      <c r="G29" s="98"/>
      <c r="H29" s="99"/>
    </row>
    <row r="30" spans="2:8" ht="30" customHeight="1" x14ac:dyDescent="0.25">
      <c r="B30" s="95"/>
      <c r="C30" s="329" t="s">
        <v>180</v>
      </c>
      <c r="D30" s="330"/>
      <c r="E30" s="324" t="s">
        <v>177</v>
      </c>
      <c r="F30" s="325"/>
      <c r="G30" s="98"/>
      <c r="H30" s="99"/>
    </row>
    <row r="31" spans="2:8" ht="35.25" customHeight="1" x14ac:dyDescent="0.25">
      <c r="B31" s="95"/>
      <c r="C31" s="329" t="s">
        <v>181</v>
      </c>
      <c r="D31" s="330"/>
      <c r="E31" s="324" t="s">
        <v>182</v>
      </c>
      <c r="F31" s="325"/>
      <c r="G31" s="98"/>
      <c r="H31" s="99"/>
    </row>
    <row r="32" spans="2:8" ht="31.5" customHeight="1" x14ac:dyDescent="0.25">
      <c r="B32" s="95"/>
      <c r="C32" s="329" t="s">
        <v>183</v>
      </c>
      <c r="D32" s="330"/>
      <c r="E32" s="324" t="s">
        <v>184</v>
      </c>
      <c r="F32" s="325"/>
      <c r="G32" s="98"/>
      <c r="H32" s="99"/>
    </row>
    <row r="33" spans="2:8" ht="35.25" customHeight="1" x14ac:dyDescent="0.25">
      <c r="B33" s="95"/>
      <c r="C33" s="329" t="s">
        <v>185</v>
      </c>
      <c r="D33" s="330"/>
      <c r="E33" s="324" t="s">
        <v>186</v>
      </c>
      <c r="F33" s="325"/>
      <c r="G33" s="98"/>
      <c r="H33" s="99"/>
    </row>
    <row r="34" spans="2:8" ht="59.25" customHeight="1" x14ac:dyDescent="0.25">
      <c r="B34" s="95"/>
      <c r="C34" s="329" t="s">
        <v>187</v>
      </c>
      <c r="D34" s="330"/>
      <c r="E34" s="324" t="s">
        <v>188</v>
      </c>
      <c r="F34" s="325"/>
      <c r="G34" s="98"/>
      <c r="H34" s="99"/>
    </row>
    <row r="35" spans="2:8" ht="29.25" customHeight="1" x14ac:dyDescent="0.25">
      <c r="B35" s="95"/>
      <c r="C35" s="329" t="s">
        <v>29</v>
      </c>
      <c r="D35" s="330"/>
      <c r="E35" s="324" t="s">
        <v>189</v>
      </c>
      <c r="F35" s="325"/>
      <c r="G35" s="98"/>
      <c r="H35" s="99"/>
    </row>
    <row r="36" spans="2:8" ht="82.5" customHeight="1" x14ac:dyDescent="0.25">
      <c r="B36" s="95"/>
      <c r="C36" s="329" t="s">
        <v>191</v>
      </c>
      <c r="D36" s="330"/>
      <c r="E36" s="324" t="s">
        <v>190</v>
      </c>
      <c r="F36" s="325"/>
      <c r="G36" s="98"/>
      <c r="H36" s="99"/>
    </row>
    <row r="37" spans="2:8" ht="46.5" customHeight="1" x14ac:dyDescent="0.25">
      <c r="B37" s="95"/>
      <c r="C37" s="329" t="s">
        <v>39</v>
      </c>
      <c r="D37" s="330"/>
      <c r="E37" s="324" t="s">
        <v>192</v>
      </c>
      <c r="F37" s="325"/>
      <c r="G37" s="98"/>
      <c r="H37" s="99"/>
    </row>
    <row r="38" spans="2:8" ht="6.75" customHeight="1" thickBot="1" x14ac:dyDescent="0.3">
      <c r="B38" s="95"/>
      <c r="C38" s="331"/>
      <c r="D38" s="332"/>
      <c r="E38" s="333"/>
      <c r="F38" s="334"/>
      <c r="G38" s="98"/>
      <c r="H38" s="99"/>
    </row>
    <row r="39" spans="2:8" ht="15.75" thickTop="1" x14ac:dyDescent="0.25">
      <c r="B39" s="95"/>
      <c r="C39" s="96"/>
      <c r="D39" s="96"/>
      <c r="E39" s="97"/>
      <c r="F39" s="97"/>
      <c r="G39" s="98"/>
      <c r="H39" s="99"/>
    </row>
    <row r="40" spans="2:8" ht="21" customHeight="1" x14ac:dyDescent="0.25">
      <c r="B40" s="326" t="s">
        <v>201</v>
      </c>
      <c r="C40" s="327"/>
      <c r="D40" s="327"/>
      <c r="E40" s="327"/>
      <c r="F40" s="327"/>
      <c r="G40" s="327"/>
      <c r="H40" s="328"/>
    </row>
    <row r="41" spans="2:8" ht="20.25" customHeight="1" x14ac:dyDescent="0.25">
      <c r="B41" s="326" t="s">
        <v>202</v>
      </c>
      <c r="C41" s="327"/>
      <c r="D41" s="327"/>
      <c r="E41" s="327"/>
      <c r="F41" s="327"/>
      <c r="G41" s="327"/>
      <c r="H41" s="328"/>
    </row>
    <row r="42" spans="2:8" ht="20.25" customHeight="1" x14ac:dyDescent="0.25">
      <c r="B42" s="326" t="s">
        <v>203</v>
      </c>
      <c r="C42" s="327"/>
      <c r="D42" s="327"/>
      <c r="E42" s="327"/>
      <c r="F42" s="327"/>
      <c r="G42" s="327"/>
      <c r="H42" s="328"/>
    </row>
    <row r="43" spans="2:8" ht="20.25" customHeight="1" x14ac:dyDescent="0.25">
      <c r="B43" s="326" t="s">
        <v>204</v>
      </c>
      <c r="C43" s="327"/>
      <c r="D43" s="327"/>
      <c r="E43" s="327"/>
      <c r="F43" s="327"/>
      <c r="G43" s="327"/>
      <c r="H43" s="328"/>
    </row>
    <row r="44" spans="2:8" x14ac:dyDescent="0.25">
      <c r="B44" s="326" t="s">
        <v>205</v>
      </c>
      <c r="C44" s="327"/>
      <c r="D44" s="327"/>
      <c r="E44" s="327"/>
      <c r="F44" s="327"/>
      <c r="G44" s="327"/>
      <c r="H44" s="328"/>
    </row>
    <row r="45" spans="2:8" ht="15.75" thickBot="1" x14ac:dyDescent="0.3">
      <c r="B45" s="100"/>
      <c r="C45" s="101"/>
      <c r="D45" s="101"/>
      <c r="E45" s="101"/>
      <c r="F45" s="101"/>
      <c r="G45" s="101"/>
      <c r="H45" s="102"/>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U75"/>
  <sheetViews>
    <sheetView showGridLines="0" tabSelected="1" topLeftCell="A12" zoomScale="60" zoomScaleNormal="60" workbookViewId="0">
      <selection activeCell="J36" sqref="J36:J41"/>
    </sheetView>
  </sheetViews>
  <sheetFormatPr baseColWidth="10" defaultRowHeight="66.75" customHeight="1" x14ac:dyDescent="0.2"/>
  <cols>
    <col min="1" max="1" width="5.5703125" style="117" customWidth="1"/>
    <col min="2" max="2" width="5.85546875" style="117" customWidth="1"/>
    <col min="3" max="3" width="11" style="139" customWidth="1"/>
    <col min="4" max="4" width="16" style="117" customWidth="1"/>
    <col min="5" max="5" width="18.85546875" style="117" customWidth="1"/>
    <col min="6" max="6" width="23.140625" style="117" customWidth="1"/>
    <col min="7" max="7" width="54.85546875" style="117" customWidth="1"/>
    <col min="8" max="8" width="47.85546875" style="117" customWidth="1"/>
    <col min="9" max="9" width="44.85546875" style="109" customWidth="1"/>
    <col min="10" max="10" width="32.42578125" style="109" customWidth="1"/>
    <col min="11" max="11" width="19" style="118" customWidth="1"/>
    <col min="12" max="12" width="24.5703125" style="109" customWidth="1"/>
    <col min="13" max="13" width="16.5703125" style="109" customWidth="1"/>
    <col min="14" max="14" width="6.28515625" style="109" bestFit="1" customWidth="1"/>
    <col min="15" max="15" width="27.28515625" style="109" bestFit="1" customWidth="1"/>
    <col min="16" max="16" width="30.5703125" style="109" hidden="1" customWidth="1"/>
    <col min="17" max="17" width="17.5703125" style="109" customWidth="1"/>
    <col min="18" max="18" width="8.7109375" style="109" customWidth="1"/>
    <col min="19" max="19" width="16" style="109" customWidth="1"/>
    <col min="20" max="20" width="5.85546875" style="114" customWidth="1"/>
    <col min="21" max="21" width="59.85546875" style="109" customWidth="1"/>
    <col min="22" max="22" width="16.5703125" style="114" customWidth="1"/>
    <col min="23" max="23" width="6.85546875" style="142" customWidth="1"/>
    <col min="24" max="24" width="5" style="142" customWidth="1"/>
    <col min="25" max="25" width="5.5703125" style="139" customWidth="1"/>
    <col min="26" max="26" width="7.140625" style="142" customWidth="1"/>
    <col min="27" max="27" width="6.7109375" style="142" customWidth="1"/>
    <col min="28" max="28" width="7.5703125" style="142" customWidth="1"/>
    <col min="29" max="29" width="38.28515625" style="109" hidden="1" customWidth="1"/>
    <col min="30" max="30" width="10.5703125" style="117" customWidth="1"/>
    <col min="31" max="31" width="10.42578125" style="117" customWidth="1"/>
    <col min="32" max="32" width="9.28515625" style="117" customWidth="1"/>
    <col min="33" max="33" width="9.140625" style="117" customWidth="1"/>
    <col min="34" max="34" width="8.42578125" style="117" customWidth="1"/>
    <col min="35" max="35" width="7.28515625" style="117" customWidth="1"/>
    <col min="36" max="36" width="46" style="109" customWidth="1"/>
    <col min="37" max="37" width="18.85546875" style="109" customWidth="1"/>
    <col min="38" max="38" width="23.42578125" style="109" customWidth="1"/>
    <col min="39" max="39" width="20.42578125" style="109" customWidth="1"/>
    <col min="40" max="40" width="23" style="109" customWidth="1"/>
    <col min="41" max="41" width="21" style="109" customWidth="1"/>
    <col min="42" max="42" width="39" style="109" customWidth="1"/>
    <col min="43" max="16384" width="11.42578125" style="109"/>
  </cols>
  <sheetData>
    <row r="1" spans="1:73" ht="66.75" customHeight="1" x14ac:dyDescent="0.2">
      <c r="A1" s="377"/>
      <c r="B1" s="377"/>
      <c r="C1" s="377"/>
      <c r="D1" s="377"/>
      <c r="E1" s="378" t="s">
        <v>213</v>
      </c>
      <c r="F1" s="378"/>
      <c r="G1" s="378"/>
      <c r="H1" s="378"/>
      <c r="I1" s="378"/>
      <c r="J1" s="378"/>
      <c r="K1" s="378"/>
      <c r="L1" s="378"/>
      <c r="M1" s="378"/>
      <c r="N1" s="378"/>
      <c r="O1" s="378"/>
      <c r="P1" s="378"/>
      <c r="Q1" s="378"/>
      <c r="R1" s="378"/>
      <c r="S1" s="378"/>
      <c r="T1" s="378"/>
      <c r="U1" s="345" t="s">
        <v>214</v>
      </c>
      <c r="V1" s="345"/>
      <c r="W1" s="345"/>
      <c r="X1" s="345"/>
      <c r="Y1" s="345"/>
      <c r="Z1" s="345"/>
      <c r="AA1" s="345"/>
      <c r="AB1" s="345"/>
      <c r="AC1" s="345"/>
      <c r="AD1" s="345"/>
      <c r="AE1" s="345"/>
      <c r="AF1" s="345"/>
      <c r="AG1" s="345"/>
      <c r="AH1" s="345"/>
      <c r="AI1" s="345"/>
      <c r="AJ1" s="345"/>
      <c r="AK1" s="345"/>
      <c r="AL1" s="345"/>
      <c r="AM1" s="345"/>
      <c r="AN1" s="345"/>
      <c r="AO1" s="345"/>
    </row>
    <row r="2" spans="1:73" ht="66.75" customHeight="1" x14ac:dyDescent="0.2">
      <c r="A2" s="377"/>
      <c r="B2" s="377"/>
      <c r="C2" s="377"/>
      <c r="D2" s="377"/>
      <c r="E2" s="378"/>
      <c r="F2" s="378"/>
      <c r="G2" s="378"/>
      <c r="H2" s="378"/>
      <c r="I2" s="378"/>
      <c r="J2" s="378"/>
      <c r="K2" s="378"/>
      <c r="L2" s="378"/>
      <c r="M2" s="378"/>
      <c r="N2" s="378"/>
      <c r="O2" s="378"/>
      <c r="P2" s="378"/>
      <c r="Q2" s="378"/>
      <c r="R2" s="378"/>
      <c r="S2" s="378"/>
      <c r="T2" s="378"/>
      <c r="U2" s="345" t="s">
        <v>215</v>
      </c>
      <c r="V2" s="345"/>
      <c r="W2" s="345"/>
      <c r="X2" s="345"/>
      <c r="Y2" s="345"/>
      <c r="Z2" s="345"/>
      <c r="AA2" s="345"/>
      <c r="AB2" s="345"/>
      <c r="AC2" s="345"/>
      <c r="AD2" s="345"/>
      <c r="AE2" s="345"/>
      <c r="AF2" s="345"/>
      <c r="AG2" s="345"/>
      <c r="AH2" s="345"/>
      <c r="AI2" s="345"/>
      <c r="AJ2" s="345"/>
      <c r="AK2" s="345"/>
      <c r="AL2" s="345"/>
      <c r="AM2" s="345"/>
      <c r="AN2" s="345"/>
      <c r="AO2" s="345"/>
    </row>
    <row r="3" spans="1:73" ht="66.75" customHeight="1" x14ac:dyDescent="0.2">
      <c r="A3" s="377"/>
      <c r="B3" s="377"/>
      <c r="C3" s="377"/>
      <c r="D3" s="377"/>
      <c r="E3" s="378"/>
      <c r="F3" s="378"/>
      <c r="G3" s="378"/>
      <c r="H3" s="378"/>
      <c r="I3" s="378"/>
      <c r="J3" s="378"/>
      <c r="K3" s="378"/>
      <c r="L3" s="378"/>
      <c r="M3" s="378"/>
      <c r="N3" s="378"/>
      <c r="O3" s="378"/>
      <c r="P3" s="378"/>
      <c r="Q3" s="378"/>
      <c r="R3" s="378"/>
      <c r="S3" s="378"/>
      <c r="T3" s="378"/>
      <c r="U3" s="345" t="s">
        <v>216</v>
      </c>
      <c r="V3" s="345"/>
      <c r="W3" s="345"/>
      <c r="X3" s="345"/>
      <c r="Y3" s="345"/>
      <c r="Z3" s="345"/>
      <c r="AA3" s="345"/>
      <c r="AB3" s="345"/>
      <c r="AC3" s="345"/>
      <c r="AD3" s="345"/>
      <c r="AE3" s="345"/>
      <c r="AF3" s="345"/>
      <c r="AG3" s="345"/>
      <c r="AH3" s="345"/>
      <c r="AI3" s="345"/>
      <c r="AJ3" s="345"/>
      <c r="AK3" s="345"/>
      <c r="AL3" s="345"/>
      <c r="AM3" s="345"/>
      <c r="AN3" s="345"/>
      <c r="AO3" s="345"/>
    </row>
    <row r="4" spans="1:73" ht="27" x14ac:dyDescent="0.2">
      <c r="A4" s="381" t="s">
        <v>374</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row>
    <row r="5" spans="1:73" ht="14.25" x14ac:dyDescent="0.2">
      <c r="A5" s="111"/>
      <c r="B5" s="111"/>
      <c r="C5" s="137"/>
      <c r="D5" s="112"/>
      <c r="E5" s="111"/>
      <c r="F5" s="111"/>
      <c r="G5" s="111"/>
      <c r="H5" s="111"/>
      <c r="I5" s="110"/>
      <c r="J5" s="110"/>
      <c r="K5" s="113"/>
      <c r="L5" s="110"/>
      <c r="M5" s="110"/>
      <c r="N5" s="110"/>
      <c r="O5" s="110"/>
      <c r="P5" s="110"/>
      <c r="Q5" s="110"/>
      <c r="R5" s="110"/>
      <c r="S5" s="110"/>
      <c r="T5" s="120"/>
      <c r="U5" s="110"/>
      <c r="V5" s="120"/>
      <c r="W5" s="141"/>
      <c r="X5" s="141"/>
      <c r="Y5" s="137"/>
      <c r="Z5" s="141"/>
      <c r="AA5" s="141"/>
      <c r="AB5" s="141"/>
      <c r="AC5" s="110"/>
      <c r="AD5" s="111"/>
      <c r="AE5" s="111"/>
      <c r="AF5" s="111"/>
      <c r="AG5" s="111"/>
      <c r="AH5" s="111"/>
      <c r="AI5" s="111"/>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row>
    <row r="6" spans="1:73" s="169" customFormat="1" ht="66.75" hidden="1" customHeight="1" x14ac:dyDescent="0.2">
      <c r="A6" s="382" t="s">
        <v>43</v>
      </c>
      <c r="B6" s="382"/>
      <c r="C6" s="382"/>
      <c r="D6" s="382"/>
      <c r="E6" s="379"/>
      <c r="F6" s="379"/>
      <c r="G6" s="379"/>
      <c r="H6" s="379"/>
      <c r="I6" s="379"/>
      <c r="J6" s="379"/>
      <c r="K6" s="379"/>
      <c r="L6" s="379"/>
      <c r="M6" s="379"/>
      <c r="N6" s="379"/>
      <c r="O6" s="379"/>
      <c r="P6" s="379"/>
      <c r="Q6" s="379"/>
      <c r="R6" s="379"/>
      <c r="S6" s="379"/>
      <c r="T6" s="380"/>
      <c r="U6" s="380"/>
      <c r="V6" s="380"/>
      <c r="W6" s="166"/>
      <c r="X6" s="166"/>
      <c r="Y6" s="167"/>
      <c r="Z6" s="166"/>
      <c r="AA6" s="166"/>
      <c r="AB6" s="166"/>
      <c r="AC6" s="149"/>
      <c r="AD6" s="168"/>
      <c r="AE6" s="168"/>
      <c r="AF6" s="168"/>
      <c r="AG6" s="168"/>
      <c r="AH6" s="168"/>
      <c r="AI6" s="168"/>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row>
    <row r="7" spans="1:73" s="169" customFormat="1" ht="66.75" hidden="1" customHeight="1" x14ac:dyDescent="0.2">
      <c r="A7" s="382" t="s">
        <v>130</v>
      </c>
      <c r="B7" s="382"/>
      <c r="C7" s="382"/>
      <c r="D7" s="382"/>
      <c r="E7" s="379"/>
      <c r="F7" s="379"/>
      <c r="G7" s="379"/>
      <c r="H7" s="379"/>
      <c r="I7" s="379"/>
      <c r="J7" s="379"/>
      <c r="K7" s="379"/>
      <c r="L7" s="379"/>
      <c r="M7" s="379"/>
      <c r="N7" s="379"/>
      <c r="O7" s="379"/>
      <c r="P7" s="379"/>
      <c r="Q7" s="379"/>
      <c r="R7" s="379"/>
      <c r="S7" s="379"/>
      <c r="T7" s="170"/>
      <c r="U7" s="149"/>
      <c r="V7" s="170"/>
      <c r="W7" s="166"/>
      <c r="X7" s="166"/>
      <c r="Y7" s="167"/>
      <c r="Z7" s="166"/>
      <c r="AA7" s="166"/>
      <c r="AB7" s="166"/>
      <c r="AC7" s="149"/>
      <c r="AD7" s="168"/>
      <c r="AE7" s="168"/>
      <c r="AF7" s="168"/>
      <c r="AG7" s="168"/>
      <c r="AH7" s="168"/>
      <c r="AI7" s="168"/>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row>
    <row r="8" spans="1:73" s="169" customFormat="1" ht="66.75" hidden="1" customHeight="1" x14ac:dyDescent="0.2">
      <c r="A8" s="383" t="s">
        <v>44</v>
      </c>
      <c r="B8" s="383"/>
      <c r="C8" s="383"/>
      <c r="D8" s="383"/>
      <c r="E8" s="384"/>
      <c r="F8" s="384"/>
      <c r="G8" s="384"/>
      <c r="H8" s="384"/>
      <c r="I8" s="384"/>
      <c r="J8" s="384"/>
      <c r="K8" s="384"/>
      <c r="L8" s="384"/>
      <c r="M8" s="384"/>
      <c r="N8" s="384"/>
      <c r="O8" s="384"/>
      <c r="P8" s="384"/>
      <c r="Q8" s="384"/>
      <c r="R8" s="384"/>
      <c r="S8" s="384"/>
      <c r="T8" s="170"/>
      <c r="U8" s="149"/>
      <c r="V8" s="170"/>
      <c r="W8" s="166"/>
      <c r="X8" s="166"/>
      <c r="Y8" s="167"/>
      <c r="Z8" s="166"/>
      <c r="AA8" s="166"/>
      <c r="AB8" s="166"/>
      <c r="AC8" s="149"/>
      <c r="AD8" s="168"/>
      <c r="AE8" s="168"/>
      <c r="AF8" s="168"/>
      <c r="AG8" s="168"/>
      <c r="AH8" s="168"/>
      <c r="AI8" s="168"/>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row>
    <row r="9" spans="1:73" s="144" customFormat="1" ht="66.75" customHeight="1" x14ac:dyDescent="0.25">
      <c r="A9" s="341" t="s">
        <v>138</v>
      </c>
      <c r="B9" s="341"/>
      <c r="C9" s="341"/>
      <c r="D9" s="341"/>
      <c r="E9" s="341"/>
      <c r="F9" s="341"/>
      <c r="G9" s="341"/>
      <c r="H9" s="341"/>
      <c r="I9" s="341"/>
      <c r="J9" s="341"/>
      <c r="K9" s="341"/>
      <c r="L9" s="341"/>
      <c r="M9" s="341" t="s">
        <v>139</v>
      </c>
      <c r="N9" s="341"/>
      <c r="O9" s="341"/>
      <c r="P9" s="341"/>
      <c r="Q9" s="341"/>
      <c r="R9" s="341"/>
      <c r="S9" s="341"/>
      <c r="T9" s="341" t="s">
        <v>140</v>
      </c>
      <c r="U9" s="341"/>
      <c r="V9" s="341"/>
      <c r="W9" s="341"/>
      <c r="X9" s="341"/>
      <c r="Y9" s="341"/>
      <c r="Z9" s="341"/>
      <c r="AA9" s="341"/>
      <c r="AB9" s="341"/>
      <c r="AC9" s="341" t="s">
        <v>141</v>
      </c>
      <c r="AD9" s="341"/>
      <c r="AE9" s="341"/>
      <c r="AF9" s="341"/>
      <c r="AG9" s="341"/>
      <c r="AH9" s="341"/>
      <c r="AI9" s="341"/>
      <c r="AJ9" s="341" t="s">
        <v>34</v>
      </c>
      <c r="AK9" s="341"/>
      <c r="AL9" s="341"/>
      <c r="AM9" s="341"/>
      <c r="AN9" s="341"/>
      <c r="AO9" s="341"/>
      <c r="AP9" s="341" t="s">
        <v>415</v>
      </c>
    </row>
    <row r="10" spans="1:73" s="169" customFormat="1" ht="66.75" customHeight="1" x14ac:dyDescent="0.2">
      <c r="A10" s="352" t="s">
        <v>0</v>
      </c>
      <c r="B10" s="352" t="s">
        <v>193</v>
      </c>
      <c r="C10" s="348" t="s">
        <v>211</v>
      </c>
      <c r="D10" s="341" t="s">
        <v>2</v>
      </c>
      <c r="E10" s="337" t="s">
        <v>3</v>
      </c>
      <c r="F10" s="337" t="s">
        <v>42</v>
      </c>
      <c r="G10" s="337" t="s">
        <v>221</v>
      </c>
      <c r="H10" s="337" t="s">
        <v>212</v>
      </c>
      <c r="I10" s="341" t="s">
        <v>224</v>
      </c>
      <c r="J10" s="341" t="s">
        <v>225</v>
      </c>
      <c r="K10" s="337" t="s">
        <v>50</v>
      </c>
      <c r="L10" s="337" t="s">
        <v>134</v>
      </c>
      <c r="M10" s="337" t="s">
        <v>33</v>
      </c>
      <c r="N10" s="341" t="s">
        <v>5</v>
      </c>
      <c r="O10" s="337" t="s">
        <v>87</v>
      </c>
      <c r="P10" s="337" t="s">
        <v>92</v>
      </c>
      <c r="Q10" s="337" t="s">
        <v>45</v>
      </c>
      <c r="R10" s="341" t="s">
        <v>5</v>
      </c>
      <c r="S10" s="337" t="s">
        <v>48</v>
      </c>
      <c r="T10" s="348" t="s">
        <v>11</v>
      </c>
      <c r="U10" s="337" t="s">
        <v>160</v>
      </c>
      <c r="V10" s="337" t="s">
        <v>12</v>
      </c>
      <c r="W10" s="337" t="s">
        <v>8</v>
      </c>
      <c r="X10" s="337"/>
      <c r="Y10" s="337"/>
      <c r="Z10" s="337"/>
      <c r="AA10" s="337"/>
      <c r="AB10" s="337"/>
      <c r="AC10" s="348" t="s">
        <v>137</v>
      </c>
      <c r="AD10" s="348" t="s">
        <v>46</v>
      </c>
      <c r="AE10" s="348" t="s">
        <v>5</v>
      </c>
      <c r="AF10" s="348" t="s">
        <v>47</v>
      </c>
      <c r="AG10" s="348" t="s">
        <v>5</v>
      </c>
      <c r="AH10" s="348" t="s">
        <v>49</v>
      </c>
      <c r="AI10" s="348" t="s">
        <v>29</v>
      </c>
      <c r="AJ10" s="337" t="s">
        <v>34</v>
      </c>
      <c r="AK10" s="337" t="s">
        <v>35</v>
      </c>
      <c r="AL10" s="337" t="s">
        <v>36</v>
      </c>
      <c r="AM10" s="337" t="s">
        <v>38</v>
      </c>
      <c r="AN10" s="337" t="s">
        <v>37</v>
      </c>
      <c r="AO10" s="337" t="s">
        <v>39</v>
      </c>
      <c r="AP10" s="341"/>
    </row>
    <row r="11" spans="1:73" s="192" customFormat="1" ht="66.75" customHeight="1" x14ac:dyDescent="0.25">
      <c r="A11" s="352"/>
      <c r="B11" s="352"/>
      <c r="C11" s="348"/>
      <c r="D11" s="341"/>
      <c r="E11" s="337"/>
      <c r="F11" s="337"/>
      <c r="G11" s="337"/>
      <c r="H11" s="337"/>
      <c r="I11" s="341"/>
      <c r="J11" s="341"/>
      <c r="K11" s="337"/>
      <c r="L11" s="337"/>
      <c r="M11" s="337"/>
      <c r="N11" s="341"/>
      <c r="O11" s="337"/>
      <c r="P11" s="337"/>
      <c r="Q11" s="341"/>
      <c r="R11" s="341"/>
      <c r="S11" s="337"/>
      <c r="T11" s="348"/>
      <c r="U11" s="337"/>
      <c r="V11" s="337"/>
      <c r="W11" s="205" t="s">
        <v>13</v>
      </c>
      <c r="X11" s="205" t="s">
        <v>17</v>
      </c>
      <c r="Y11" s="205" t="s">
        <v>28</v>
      </c>
      <c r="Z11" s="205" t="s">
        <v>18</v>
      </c>
      <c r="AA11" s="205" t="s">
        <v>21</v>
      </c>
      <c r="AB11" s="205" t="s">
        <v>24</v>
      </c>
      <c r="AC11" s="348"/>
      <c r="AD11" s="348"/>
      <c r="AE11" s="348"/>
      <c r="AF11" s="348"/>
      <c r="AG11" s="348"/>
      <c r="AH11" s="348"/>
      <c r="AI11" s="348"/>
      <c r="AJ11" s="337"/>
      <c r="AK11" s="337"/>
      <c r="AL11" s="337"/>
      <c r="AM11" s="337"/>
      <c r="AN11" s="337"/>
      <c r="AO11" s="337"/>
      <c r="AP11" s="341"/>
    </row>
    <row r="12" spans="1:73" s="181" customFormat="1" ht="108.75" customHeight="1" x14ac:dyDescent="0.25">
      <c r="A12" s="354" t="s">
        <v>357</v>
      </c>
      <c r="B12" s="351" t="s">
        <v>233</v>
      </c>
      <c r="C12" s="351" t="s">
        <v>377</v>
      </c>
      <c r="D12" s="338" t="s">
        <v>131</v>
      </c>
      <c r="E12" s="350" t="s">
        <v>376</v>
      </c>
      <c r="F12" s="350" t="s">
        <v>375</v>
      </c>
      <c r="G12" s="347" t="s">
        <v>386</v>
      </c>
      <c r="H12" s="347" t="s">
        <v>385</v>
      </c>
      <c r="I12" s="346" t="s">
        <v>480</v>
      </c>
      <c r="J12" s="346" t="s">
        <v>379</v>
      </c>
      <c r="K12" s="338" t="s">
        <v>356</v>
      </c>
      <c r="L12" s="339">
        <v>500</v>
      </c>
      <c r="M12" s="340" t="str">
        <f>IF(L12&lt;=0,"",IF(L12&lt;=2,"Muy Baja",IF(L12&lt;=24,"Baja",IF(L12&lt;=500,"Media",IF(L12&lt;=5000,"Alta","Muy Alta")))))</f>
        <v>Media</v>
      </c>
      <c r="N12" s="342">
        <f>IF(M12="","",IF(M12="Muy Baja",0.2,IF(M12="Baja",0.4,IF(M12="Media",0.6,IF(M12="Alta",0.8,IF(M12="Muy Alta",1,))))))</f>
        <v>0.6</v>
      </c>
      <c r="O12" s="349" t="s">
        <v>153</v>
      </c>
      <c r="P12" s="342" t="str">
        <f>IF(NOT(ISERROR(MATCH(O12,'Tabla Impacto'!$B$221:$B$223,0))),'Tabla Impacto'!$F$223&amp;"Por favor no seleccionar los criterios de impacto(Afectación Económica o presupuestal y Pérdida Reputacional)",O12)</f>
        <v xml:space="preserve">     El riesgo afecta la imagen de de la entidad con efecto publicitario sostenido a nivel de sector administrativo, nivel departamental o municipal</v>
      </c>
      <c r="Q12" s="340" t="str">
        <f>IF(OR(P12='Tabla Impacto'!$C$11,P12='Tabla Impacto'!$D$11),"Leve",IF(OR(P12='Tabla Impacto'!$C$12,P12='Tabla Impacto'!$D$12),"Menor",IF(OR(P12='Tabla Impacto'!$C$13,P12='Tabla Impacto'!$D$13),"Moderado",IF(OR(P12='Tabla Impacto'!$C$14,P12='Tabla Impacto'!$D$14),"Mayor",IF(OR(P12='Tabla Impacto'!$C$15,P12='Tabla Impacto'!$D$15),"Catastrófico","")))))</f>
        <v>Mayor</v>
      </c>
      <c r="R12" s="342">
        <f>IF(Q12="","",IF(Q12="Leve",0.2,IF(Q12="Menor",0.4,IF(Q12="Moderado",0.6,IF(Q12="Mayor",0.8,IF(Q12="Catastrófico",1,))))))</f>
        <v>0.8</v>
      </c>
      <c r="S12" s="343"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Alto</v>
      </c>
      <c r="T12" s="206">
        <v>1</v>
      </c>
      <c r="U12" s="207" t="s">
        <v>422</v>
      </c>
      <c r="V12" s="208" t="str">
        <f>IF(OR(W12="Preventivo",W12="Detectivo"),"Probabilidad",IF(W12="Correctivo","Impacto",""))</f>
        <v>Probabilidad</v>
      </c>
      <c r="W12" s="209" t="s">
        <v>14</v>
      </c>
      <c r="X12" s="209" t="s">
        <v>9</v>
      </c>
      <c r="Y12" s="210" t="str">
        <f>IF(AND(W12="Preventivo",X12="Automático"),"50%",IF(AND(W12="Preventivo",X12="Manual"),"40%",IF(AND(W12="Detectivo",X12="Automático"),"40%",IF(AND(W12="Detectivo",X12="Manual"),"30%",IF(AND(W12="Correctivo",X12="Automático"),"35%",IF(AND(W12="Correctivo",X12="Manual"),"25%",""))))))</f>
        <v>40%</v>
      </c>
      <c r="Z12" s="209" t="s">
        <v>19</v>
      </c>
      <c r="AA12" s="209" t="s">
        <v>22</v>
      </c>
      <c r="AB12" s="209" t="s">
        <v>119</v>
      </c>
      <c r="AC12" s="211">
        <f>IFERROR(IF(V12="Probabilidad",(N12-(+N12*Y12)),IF(V12="Impacto",N12,"")),"")</f>
        <v>0.36</v>
      </c>
      <c r="AD12" s="212" t="str">
        <f>IFERROR(IF(AC12="","",IF(AC12&lt;=0.2,"Muy Baja",IF(AC12&lt;=0.4,"Baja",IF(AC12&lt;=0.6,"Media",IF(AC12&lt;=0.8,"Alta","Muy Alta"))))),"")</f>
        <v>Baja</v>
      </c>
      <c r="AE12" s="213">
        <f>+AC12</f>
        <v>0.36</v>
      </c>
      <c r="AF12" s="212" t="str">
        <f>IFERROR(IF(AG12="","",IF(AG12&lt;=0.2,"Leve",IF(AG12&lt;=0.4,"Menor",IF(AG12&lt;=0.6,"Moderado",IF(AG12&lt;=0.8,"Mayor","Catastrófico"))))),"")</f>
        <v>Mayor</v>
      </c>
      <c r="AG12" s="213">
        <f>IFERROR(IF(V12="Impacto",(R12-(+R12*Y12)),IF(V12="Probabilidad",R12,"")),"")</f>
        <v>0.8</v>
      </c>
      <c r="AH12" s="214"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Alto</v>
      </c>
      <c r="AI12" s="215" t="s">
        <v>135</v>
      </c>
      <c r="AJ12" s="344" t="s">
        <v>426</v>
      </c>
      <c r="AK12" s="335" t="s">
        <v>302</v>
      </c>
      <c r="AL12" s="336">
        <v>44928</v>
      </c>
      <c r="AM12" s="336">
        <v>45289</v>
      </c>
      <c r="AN12" s="385" t="s">
        <v>417</v>
      </c>
      <c r="AO12" s="335" t="s">
        <v>414</v>
      </c>
      <c r="AP12" s="344" t="s">
        <v>427</v>
      </c>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row>
    <row r="13" spans="1:73" s="169" customFormat="1" ht="197.25" customHeight="1" x14ac:dyDescent="0.2">
      <c r="A13" s="354"/>
      <c r="B13" s="351"/>
      <c r="C13" s="351"/>
      <c r="D13" s="338"/>
      <c r="E13" s="350"/>
      <c r="F13" s="350"/>
      <c r="G13" s="347"/>
      <c r="H13" s="347"/>
      <c r="I13" s="346"/>
      <c r="J13" s="346"/>
      <c r="K13" s="338"/>
      <c r="L13" s="339"/>
      <c r="M13" s="340"/>
      <c r="N13" s="342"/>
      <c r="O13" s="349"/>
      <c r="P13" s="342">
        <f>IF(NOT(ISERROR(MATCH(O13,_xlfn.ANCHORARRAY(I24),0))),N26&amp;"Por favor no seleccionar los criterios de impacto",O13)</f>
        <v>0</v>
      </c>
      <c r="Q13" s="340"/>
      <c r="R13" s="342"/>
      <c r="S13" s="343"/>
      <c r="T13" s="206">
        <v>2</v>
      </c>
      <c r="U13" s="207" t="s">
        <v>425</v>
      </c>
      <c r="V13" s="208" t="str">
        <f>IF(OR(W13="Preventivo",W13="Detectivo"),"Probabilidad",IF(W13="Correctivo","Impacto",""))</f>
        <v>Probabilidad</v>
      </c>
      <c r="W13" s="209" t="s">
        <v>14</v>
      </c>
      <c r="X13" s="209" t="s">
        <v>10</v>
      </c>
      <c r="Y13" s="210" t="str">
        <f t="shared" ref="Y13:Y17" si="0">IF(AND(W13="Preventivo",X13="Automático"),"50%",IF(AND(W13="Preventivo",X13="Manual"),"40%",IF(AND(W13="Detectivo",X13="Automático"),"40%",IF(AND(W13="Detectivo",X13="Manual"),"30%",IF(AND(W13="Correctivo",X13="Automático"),"35%",IF(AND(W13="Correctivo",X13="Manual"),"25%",""))))))</f>
        <v>50%</v>
      </c>
      <c r="Z13" s="209" t="s">
        <v>19</v>
      </c>
      <c r="AA13" s="209" t="s">
        <v>22</v>
      </c>
      <c r="AB13" s="209" t="s">
        <v>119</v>
      </c>
      <c r="AC13" s="211">
        <f>IFERROR(IF(AND(V12="Probabilidad",V13="Probabilidad"),(AE12-(+AE12*Y13)),IF(V13="Probabilidad",(N12-(+N12*Y13)),IF(V13="Impacto",AE12,""))),"")</f>
        <v>0.18</v>
      </c>
      <c r="AD13" s="212" t="str">
        <f t="shared" ref="AD13:AD71" si="1">IFERROR(IF(AC13="","",IF(AC13&lt;=0.2,"Muy Baja",IF(AC13&lt;=0.4,"Baja",IF(AC13&lt;=0.6,"Media",IF(AC13&lt;=0.8,"Alta","Muy Alta"))))),"")</f>
        <v>Muy Baja</v>
      </c>
      <c r="AE13" s="213">
        <f t="shared" ref="AE13:AE17" si="2">+AC13</f>
        <v>0.18</v>
      </c>
      <c r="AF13" s="212" t="str">
        <f t="shared" ref="AF13:AF71" si="3">IFERROR(IF(AG13="","",IF(AG13&lt;=0.2,"Leve",IF(AG13&lt;=0.4,"Menor",IF(AG13&lt;=0.6,"Moderado",IF(AG13&lt;=0.8,"Mayor","Catastrófico"))))),"")</f>
        <v>Mayor</v>
      </c>
      <c r="AG13" s="213">
        <f>IFERROR(IF(AND(V12="Impacto",V13="Impacto"),(AG12-(+AG12*Y13)),IF(V13="Impacto",(R12-(+R12*Y13)),IF(V13="Probabilidad",AG12,""))),"")</f>
        <v>0.8</v>
      </c>
      <c r="AH13" s="214" t="str">
        <f t="shared" ref="AH13:AH17" si="4">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Alto</v>
      </c>
      <c r="AI13" s="215" t="s">
        <v>135</v>
      </c>
      <c r="AJ13" s="344"/>
      <c r="AK13" s="335"/>
      <c r="AL13" s="336"/>
      <c r="AM13" s="336"/>
      <c r="AN13" s="385"/>
      <c r="AO13" s="335"/>
      <c r="AP13" s="344"/>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row>
    <row r="14" spans="1:73" s="169" customFormat="1" ht="114" customHeight="1" x14ac:dyDescent="0.2">
      <c r="A14" s="354"/>
      <c r="B14" s="351"/>
      <c r="C14" s="351"/>
      <c r="D14" s="338"/>
      <c r="E14" s="350"/>
      <c r="F14" s="350"/>
      <c r="G14" s="347"/>
      <c r="H14" s="347"/>
      <c r="I14" s="346"/>
      <c r="J14" s="346"/>
      <c r="K14" s="338"/>
      <c r="L14" s="339"/>
      <c r="M14" s="340"/>
      <c r="N14" s="342"/>
      <c r="O14" s="349"/>
      <c r="P14" s="342">
        <f>IF(NOT(ISERROR(MATCH(O14,_xlfn.ANCHORARRAY(I25),0))),N27&amp;"Por favor no seleccionar los criterios de impacto",O14)</f>
        <v>0</v>
      </c>
      <c r="Q14" s="340"/>
      <c r="R14" s="342"/>
      <c r="S14" s="343"/>
      <c r="T14" s="206">
        <v>3</v>
      </c>
      <c r="U14" s="216" t="s">
        <v>423</v>
      </c>
      <c r="V14" s="208" t="str">
        <f>IF(OR(W14="Preventivo",W14="Detectivo"),"Probabilidad",IF(W14="Correctivo","Impacto",""))</f>
        <v>Probabilidad</v>
      </c>
      <c r="W14" s="209" t="s">
        <v>14</v>
      </c>
      <c r="X14" s="209" t="s">
        <v>9</v>
      </c>
      <c r="Y14" s="210" t="str">
        <f t="shared" si="0"/>
        <v>40%</v>
      </c>
      <c r="Z14" s="209" t="s">
        <v>19</v>
      </c>
      <c r="AA14" s="209" t="s">
        <v>22</v>
      </c>
      <c r="AB14" s="209" t="s">
        <v>119</v>
      </c>
      <c r="AC14" s="211">
        <f>IFERROR(IF(AND(V13="Probabilidad",V14="Probabilidad"),(AE13-(+AE13*Y14)),IF(AND(V13="Impacto",V14="Probabilidad"),(AE12-(+AE12*Y14)),IF(V14="Impacto",AE13,""))),"")</f>
        <v>0.108</v>
      </c>
      <c r="AD14" s="212" t="str">
        <f t="shared" si="1"/>
        <v>Muy Baja</v>
      </c>
      <c r="AE14" s="213">
        <f t="shared" si="2"/>
        <v>0.108</v>
      </c>
      <c r="AF14" s="212" t="str">
        <f t="shared" si="3"/>
        <v>Mayor</v>
      </c>
      <c r="AG14" s="213">
        <f>IFERROR(IF(AND(V13="Impacto",V14="Impacto"),(AG13-(+AG13*Y14)),IF(AND(V13="Probabilidad",V14="Impacto"),(AG12-(+AG12*Y14)),IF(V14="Probabilidad",AG13,""))),"")</f>
        <v>0.8</v>
      </c>
      <c r="AH14" s="214" t="str">
        <f t="shared" si="4"/>
        <v>Alto</v>
      </c>
      <c r="AI14" s="215" t="s">
        <v>135</v>
      </c>
      <c r="AJ14" s="344"/>
      <c r="AK14" s="335"/>
      <c r="AL14" s="336"/>
      <c r="AM14" s="336"/>
      <c r="AN14" s="385"/>
      <c r="AO14" s="335"/>
      <c r="AP14" s="344"/>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row>
    <row r="15" spans="1:73" s="169" customFormat="1" ht="99.75" customHeight="1" x14ac:dyDescent="0.2">
      <c r="A15" s="354"/>
      <c r="B15" s="351"/>
      <c r="C15" s="351"/>
      <c r="D15" s="338"/>
      <c r="E15" s="350"/>
      <c r="F15" s="350"/>
      <c r="G15" s="347"/>
      <c r="H15" s="347"/>
      <c r="I15" s="346"/>
      <c r="J15" s="346"/>
      <c r="K15" s="338"/>
      <c r="L15" s="339"/>
      <c r="M15" s="340"/>
      <c r="N15" s="342"/>
      <c r="O15" s="349"/>
      <c r="P15" s="342">
        <f>IF(NOT(ISERROR(MATCH(O15,_xlfn.ANCHORARRAY(I26),0))),N28&amp;"Por favor no seleccionar los criterios de impacto",O15)</f>
        <v>0</v>
      </c>
      <c r="Q15" s="340"/>
      <c r="R15" s="342"/>
      <c r="S15" s="343"/>
      <c r="T15" s="206">
        <v>4</v>
      </c>
      <c r="U15" s="216" t="s">
        <v>424</v>
      </c>
      <c r="V15" s="208" t="str">
        <f t="shared" ref="V15:V17" si="5">IF(OR(W15="Preventivo",W15="Detectivo"),"Probabilidad",IF(W15="Correctivo","Impacto",""))</f>
        <v>Probabilidad</v>
      </c>
      <c r="W15" s="209" t="s">
        <v>14</v>
      </c>
      <c r="X15" s="209" t="s">
        <v>9</v>
      </c>
      <c r="Y15" s="210" t="str">
        <f t="shared" si="0"/>
        <v>40%</v>
      </c>
      <c r="Z15" s="209" t="s">
        <v>19</v>
      </c>
      <c r="AA15" s="209" t="s">
        <v>23</v>
      </c>
      <c r="AB15" s="209" t="s">
        <v>119</v>
      </c>
      <c r="AC15" s="211">
        <f t="shared" ref="AC15:AC17" si="6">IFERROR(IF(AND(V14="Probabilidad",V15="Probabilidad"),(AE14-(+AE14*Y15)),IF(AND(V14="Impacto",V15="Probabilidad"),(AE13-(+AE13*Y15)),IF(V15="Impacto",AE14,""))),"")</f>
        <v>6.4799999999999996E-2</v>
      </c>
      <c r="AD15" s="212" t="str">
        <f t="shared" si="1"/>
        <v>Muy Baja</v>
      </c>
      <c r="AE15" s="213">
        <f t="shared" si="2"/>
        <v>6.4799999999999996E-2</v>
      </c>
      <c r="AF15" s="212" t="str">
        <f t="shared" si="3"/>
        <v>Mayor</v>
      </c>
      <c r="AG15" s="213">
        <f t="shared" ref="AG15:AG17" si="7">IFERROR(IF(AND(V14="Impacto",V15="Impacto"),(AG14-(+AG14*Y15)),IF(AND(V14="Probabilidad",V15="Impacto"),(AG13-(+AG13*Y15)),IF(V15="Probabilidad",AG14,""))),"")</f>
        <v>0.8</v>
      </c>
      <c r="AH15" s="214"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Alto</v>
      </c>
      <c r="AI15" s="215"/>
      <c r="AJ15" s="344"/>
      <c r="AK15" s="335"/>
      <c r="AL15" s="336"/>
      <c r="AM15" s="336"/>
      <c r="AN15" s="385"/>
      <c r="AO15" s="335"/>
      <c r="AP15" s="344"/>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row>
    <row r="16" spans="1:73" s="169" customFormat="1" ht="66.75" customHeight="1" x14ac:dyDescent="0.2">
      <c r="A16" s="354"/>
      <c r="B16" s="351"/>
      <c r="C16" s="351"/>
      <c r="D16" s="338"/>
      <c r="E16" s="350"/>
      <c r="F16" s="350"/>
      <c r="G16" s="347"/>
      <c r="H16" s="347"/>
      <c r="I16" s="346"/>
      <c r="J16" s="346"/>
      <c r="K16" s="338"/>
      <c r="L16" s="339"/>
      <c r="M16" s="340"/>
      <c r="N16" s="342"/>
      <c r="O16" s="349"/>
      <c r="P16" s="342">
        <f>IF(NOT(ISERROR(MATCH(O16,_xlfn.ANCHORARRAY(I27),0))),N29&amp;"Por favor no seleccionar los criterios de impacto",O16)</f>
        <v>0</v>
      </c>
      <c r="Q16" s="340"/>
      <c r="R16" s="342"/>
      <c r="S16" s="343"/>
      <c r="T16" s="206">
        <v>5</v>
      </c>
      <c r="U16" s="207"/>
      <c r="V16" s="208" t="str">
        <f t="shared" si="5"/>
        <v/>
      </c>
      <c r="W16" s="209"/>
      <c r="X16" s="209"/>
      <c r="Y16" s="210" t="str">
        <f t="shared" si="0"/>
        <v/>
      </c>
      <c r="Z16" s="209"/>
      <c r="AA16" s="209"/>
      <c r="AB16" s="209"/>
      <c r="AC16" s="211" t="str">
        <f t="shared" si="6"/>
        <v/>
      </c>
      <c r="AD16" s="212" t="str">
        <f t="shared" si="1"/>
        <v/>
      </c>
      <c r="AE16" s="213" t="str">
        <f t="shared" si="2"/>
        <v/>
      </c>
      <c r="AF16" s="212" t="str">
        <f t="shared" si="3"/>
        <v/>
      </c>
      <c r="AG16" s="213" t="str">
        <f t="shared" si="7"/>
        <v/>
      </c>
      <c r="AH16" s="214" t="str">
        <f t="shared" si="4"/>
        <v/>
      </c>
      <c r="AI16" s="215"/>
      <c r="AJ16" s="344"/>
      <c r="AK16" s="335"/>
      <c r="AL16" s="336"/>
      <c r="AM16" s="336"/>
      <c r="AN16" s="385"/>
      <c r="AO16" s="335"/>
      <c r="AP16" s="344"/>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row>
    <row r="17" spans="1:73" s="169" customFormat="1" ht="66.75" customHeight="1" x14ac:dyDescent="0.2">
      <c r="A17" s="354"/>
      <c r="B17" s="351"/>
      <c r="C17" s="351"/>
      <c r="D17" s="338"/>
      <c r="E17" s="350"/>
      <c r="F17" s="350"/>
      <c r="G17" s="347"/>
      <c r="H17" s="347"/>
      <c r="I17" s="346"/>
      <c r="J17" s="346"/>
      <c r="K17" s="338"/>
      <c r="L17" s="339"/>
      <c r="M17" s="340"/>
      <c r="N17" s="342"/>
      <c r="O17" s="349"/>
      <c r="P17" s="342">
        <f>IF(NOT(ISERROR(MATCH(O17,_xlfn.ANCHORARRAY(I28),0))),N30&amp;"Por favor no seleccionar los criterios de impacto",O17)</f>
        <v>0</v>
      </c>
      <c r="Q17" s="340"/>
      <c r="R17" s="342"/>
      <c r="S17" s="343"/>
      <c r="T17" s="206">
        <v>6</v>
      </c>
      <c r="U17" s="207"/>
      <c r="V17" s="208" t="str">
        <f t="shared" si="5"/>
        <v/>
      </c>
      <c r="W17" s="209"/>
      <c r="X17" s="209"/>
      <c r="Y17" s="210" t="str">
        <f t="shared" si="0"/>
        <v/>
      </c>
      <c r="Z17" s="209"/>
      <c r="AA17" s="209"/>
      <c r="AB17" s="209"/>
      <c r="AC17" s="211" t="str">
        <f t="shared" si="6"/>
        <v/>
      </c>
      <c r="AD17" s="212" t="str">
        <f t="shared" si="1"/>
        <v/>
      </c>
      <c r="AE17" s="213" t="str">
        <f t="shared" si="2"/>
        <v/>
      </c>
      <c r="AF17" s="212" t="str">
        <f t="shared" si="3"/>
        <v/>
      </c>
      <c r="AG17" s="213" t="str">
        <f t="shared" si="7"/>
        <v/>
      </c>
      <c r="AH17" s="214" t="str">
        <f t="shared" si="4"/>
        <v/>
      </c>
      <c r="AI17" s="215"/>
      <c r="AJ17" s="344"/>
      <c r="AK17" s="335"/>
      <c r="AL17" s="336"/>
      <c r="AM17" s="336"/>
      <c r="AN17" s="385"/>
      <c r="AO17" s="335"/>
      <c r="AP17" s="344"/>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row>
    <row r="18" spans="1:73" s="169" customFormat="1" ht="142.5" customHeight="1" x14ac:dyDescent="0.2">
      <c r="A18" s="354" t="s">
        <v>358</v>
      </c>
      <c r="B18" s="351" t="s">
        <v>231</v>
      </c>
      <c r="C18" s="351" t="s">
        <v>244</v>
      </c>
      <c r="D18" s="338" t="s">
        <v>131</v>
      </c>
      <c r="E18" s="338" t="s">
        <v>376</v>
      </c>
      <c r="F18" s="350" t="s">
        <v>378</v>
      </c>
      <c r="G18" s="350" t="s">
        <v>387</v>
      </c>
      <c r="H18" s="347" t="s">
        <v>384</v>
      </c>
      <c r="I18" s="355" t="s">
        <v>481</v>
      </c>
      <c r="J18" s="353" t="s">
        <v>380</v>
      </c>
      <c r="K18" s="338" t="s">
        <v>356</v>
      </c>
      <c r="L18" s="339">
        <v>200</v>
      </c>
      <c r="M18" s="340" t="str">
        <f>IF(L18&lt;=0,"",IF(L18&lt;=2,"Muy Baja",IF(L18&lt;=24,"Baja",IF(L18&lt;=500,"Media",IF(L18&lt;=5000,"Alta","Muy Alta")))))</f>
        <v>Media</v>
      </c>
      <c r="N18" s="342">
        <f>IF(M18="","",IF(M18="Muy Baja",0.2,IF(M18="Baja",0.4,IF(M18="Media",0.6,IF(M18="Alta",0.8,IF(M18="Muy Alta",1,))))))</f>
        <v>0.6</v>
      </c>
      <c r="O18" s="349" t="s">
        <v>154</v>
      </c>
      <c r="P18" s="342" t="str">
        <f>IF(NOT(ISERROR(MATCH(O18,'Tabla Impacto'!$B$221:$B$223,0))),'Tabla Impacto'!$F$223&amp;"Por favor no seleccionar los criterios de impacto(Afectación Económica o presupuestal y Pérdida Reputacional)",O18)</f>
        <v xml:space="preserve">     El riesgo afecta la imagen de la entidad a nivel nacional, con efecto publicitarios sostenible a nivel país</v>
      </c>
      <c r="Q18" s="340" t="str">
        <f>IF(OR(P18='Tabla Impacto'!$C$11,P18='Tabla Impacto'!$D$11),"Leve",IF(OR(P18='Tabla Impacto'!$C$12,P18='Tabla Impacto'!$D$12),"Menor",IF(OR(P18='Tabla Impacto'!$C$13,P18='Tabla Impacto'!$D$13),"Moderado",IF(OR(P18='Tabla Impacto'!$C$14,P18='Tabla Impacto'!$D$14),"Mayor",IF(OR(P18='Tabla Impacto'!$C$15,P18='Tabla Impacto'!$D$15),"Catastrófico","")))))</f>
        <v>Catastrófico</v>
      </c>
      <c r="R18" s="342">
        <f>IF(Q18="","",IF(Q18="Leve",0.2,IF(Q18="Menor",0.4,IF(Q18="Moderado",0.6,IF(Q18="Mayor",0.8,IF(Q18="Catastrófico",1,))))))</f>
        <v>1</v>
      </c>
      <c r="S18" s="343"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Extremo</v>
      </c>
      <c r="T18" s="206">
        <v>1</v>
      </c>
      <c r="U18" s="216" t="s">
        <v>447</v>
      </c>
      <c r="V18" s="208" t="str">
        <f>IF(OR(W18="Preventivo",W18="Detectivo"),"Probabilidad",IF(W18="Correctivo","Impacto",""))</f>
        <v>Probabilidad</v>
      </c>
      <c r="W18" s="209" t="s">
        <v>14</v>
      </c>
      <c r="X18" s="209" t="s">
        <v>9</v>
      </c>
      <c r="Y18" s="210" t="str">
        <f>IF(AND(W18="Preventivo",X18="Automático"),"50%",IF(AND(W18="Preventivo",X18="Manual"),"40%",IF(AND(W18="Detectivo",X18="Automático"),"40%",IF(AND(W18="Detectivo",X18="Manual"),"30%",IF(AND(W18="Correctivo",X18="Automático"),"35%",IF(AND(W18="Correctivo",X18="Manual"),"25%",""))))))</f>
        <v>40%</v>
      </c>
      <c r="Z18" s="209" t="s">
        <v>19</v>
      </c>
      <c r="AA18" s="209" t="s">
        <v>22</v>
      </c>
      <c r="AB18" s="209" t="s">
        <v>119</v>
      </c>
      <c r="AC18" s="211">
        <f>IFERROR(IF(V18="Probabilidad",(N18-(+N18*Y18)),IF(V18="Impacto",N18,"")),"")</f>
        <v>0.36</v>
      </c>
      <c r="AD18" s="212" t="str">
        <f>IFERROR(IF(AC18="","",IF(AC18&lt;=0.2,"Muy Baja",IF(AC18&lt;=0.4,"Baja",IF(AC18&lt;=0.6,"Media",IF(AC18&lt;=0.8,"Alta","Muy Alta"))))),"")</f>
        <v>Baja</v>
      </c>
      <c r="AE18" s="213">
        <f>+AC18</f>
        <v>0.36</v>
      </c>
      <c r="AF18" s="212" t="str">
        <f>IFERROR(IF(AG18="","",IF(AG18&lt;=0.2,"Leve",IF(AG18&lt;=0.4,"Menor",IF(AG18&lt;=0.6,"Moderado",IF(AG18&lt;=0.8,"Mayor","Catastrófico"))))),"")</f>
        <v>Catastrófico</v>
      </c>
      <c r="AG18" s="213">
        <f>IFERROR(IF(V18="Impacto",(R18-(+R18*Y18)),IF(V18="Probabilidad",R18,"")),"")</f>
        <v>1</v>
      </c>
      <c r="AH18" s="214"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Extremo</v>
      </c>
      <c r="AI18" s="215" t="s">
        <v>135</v>
      </c>
      <c r="AJ18" s="344" t="s">
        <v>455</v>
      </c>
      <c r="AK18" s="335" t="s">
        <v>299</v>
      </c>
      <c r="AL18" s="336">
        <v>44928</v>
      </c>
      <c r="AM18" s="336">
        <v>45289</v>
      </c>
      <c r="AN18" s="385" t="s">
        <v>417</v>
      </c>
      <c r="AO18" s="335" t="s">
        <v>436</v>
      </c>
      <c r="AP18" s="344" t="s">
        <v>453</v>
      </c>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row>
    <row r="19" spans="1:73" s="169" customFormat="1" ht="167.25" customHeight="1" x14ac:dyDescent="0.2">
      <c r="A19" s="354"/>
      <c r="B19" s="351"/>
      <c r="C19" s="351"/>
      <c r="D19" s="338"/>
      <c r="E19" s="338"/>
      <c r="F19" s="350"/>
      <c r="G19" s="350"/>
      <c r="H19" s="347"/>
      <c r="I19" s="355"/>
      <c r="J19" s="353"/>
      <c r="K19" s="338"/>
      <c r="L19" s="339"/>
      <c r="M19" s="340"/>
      <c r="N19" s="342"/>
      <c r="O19" s="349"/>
      <c r="P19" s="342">
        <f>IF(NOT(ISERROR(MATCH(O19,_xlfn.ANCHORARRAY(I30),0))),N32&amp;"Por favor no seleccionar los criterios de impacto",O19)</f>
        <v>0</v>
      </c>
      <c r="Q19" s="340"/>
      <c r="R19" s="342"/>
      <c r="S19" s="343"/>
      <c r="T19" s="206">
        <v>2</v>
      </c>
      <c r="U19" s="216" t="s">
        <v>450</v>
      </c>
      <c r="V19" s="208" t="str">
        <f>IF(OR(W19="Preventivo",W19="Detectivo"),"Probabilidad",IF(W19="Correctivo","Impacto",""))</f>
        <v>Probabilidad</v>
      </c>
      <c r="W19" s="209" t="s">
        <v>14</v>
      </c>
      <c r="X19" s="209" t="s">
        <v>9</v>
      </c>
      <c r="Y19" s="210" t="str">
        <f t="shared" ref="Y19:Y23" si="8">IF(AND(W19="Preventivo",X19="Automático"),"50%",IF(AND(W19="Preventivo",X19="Manual"),"40%",IF(AND(W19="Detectivo",X19="Automático"),"40%",IF(AND(W19="Detectivo",X19="Manual"),"30%",IF(AND(W19="Correctivo",X19="Automático"),"35%",IF(AND(W19="Correctivo",X19="Manual"),"25%",""))))))</f>
        <v>40%</v>
      </c>
      <c r="Z19" s="209" t="s">
        <v>19</v>
      </c>
      <c r="AA19" s="209" t="s">
        <v>22</v>
      </c>
      <c r="AB19" s="209" t="s">
        <v>119</v>
      </c>
      <c r="AC19" s="211">
        <f>IFERROR(IF(AND(V18="Probabilidad",V19="Probabilidad"),(AE18-(+AE18*Y19)),IF(V19="Probabilidad",(N18-(+N18*Y19)),IF(V19="Impacto",AE18,""))),"")</f>
        <v>0.216</v>
      </c>
      <c r="AD19" s="212" t="str">
        <f t="shared" si="1"/>
        <v>Baja</v>
      </c>
      <c r="AE19" s="213">
        <f t="shared" ref="AE19:AE23" si="9">+AC19</f>
        <v>0.216</v>
      </c>
      <c r="AF19" s="212" t="str">
        <f t="shared" si="3"/>
        <v>Catastrófico</v>
      </c>
      <c r="AG19" s="213">
        <f>IFERROR(IF(AND(V18="Impacto",V19="Impacto"),(AG18-(+AG18*Y19)),IF(V19="Impacto",(R18-(+R18*Y19)),IF(V19="Probabilidad",AG18,""))),"")</f>
        <v>1</v>
      </c>
      <c r="AH19" s="214" t="str">
        <f t="shared" ref="AH19:AH20" si="10">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Extremo</v>
      </c>
      <c r="AI19" s="215" t="s">
        <v>32</v>
      </c>
      <c r="AJ19" s="344"/>
      <c r="AK19" s="335"/>
      <c r="AL19" s="336"/>
      <c r="AM19" s="336"/>
      <c r="AN19" s="385"/>
      <c r="AO19" s="335"/>
      <c r="AP19" s="344"/>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row>
    <row r="20" spans="1:73" s="169" customFormat="1" ht="151.5" customHeight="1" x14ac:dyDescent="0.2">
      <c r="A20" s="354"/>
      <c r="B20" s="351"/>
      <c r="C20" s="351"/>
      <c r="D20" s="338"/>
      <c r="E20" s="338"/>
      <c r="F20" s="350"/>
      <c r="G20" s="350"/>
      <c r="H20" s="347"/>
      <c r="I20" s="355"/>
      <c r="J20" s="353"/>
      <c r="K20" s="338"/>
      <c r="L20" s="339"/>
      <c r="M20" s="340"/>
      <c r="N20" s="342"/>
      <c r="O20" s="349"/>
      <c r="P20" s="342">
        <f>IF(NOT(ISERROR(MATCH(O20,_xlfn.ANCHORARRAY(I31),0))),N33&amp;"Por favor no seleccionar los criterios de impacto",O20)</f>
        <v>0</v>
      </c>
      <c r="Q20" s="340"/>
      <c r="R20" s="342"/>
      <c r="S20" s="343"/>
      <c r="T20" s="206">
        <v>3</v>
      </c>
      <c r="U20" s="216" t="s">
        <v>448</v>
      </c>
      <c r="V20" s="208" t="str">
        <f>IF(OR(W20="Preventivo",W20="Detectivo"),"Probabilidad",IF(W20="Correctivo","Impacto",""))</f>
        <v>Probabilidad</v>
      </c>
      <c r="W20" s="209" t="s">
        <v>14</v>
      </c>
      <c r="X20" s="209" t="s">
        <v>9</v>
      </c>
      <c r="Y20" s="210" t="str">
        <f t="shared" si="8"/>
        <v>40%</v>
      </c>
      <c r="Z20" s="209" t="s">
        <v>19</v>
      </c>
      <c r="AA20" s="209" t="s">
        <v>22</v>
      </c>
      <c r="AB20" s="209" t="s">
        <v>119</v>
      </c>
      <c r="AC20" s="211">
        <f>IFERROR(IF(AND(V19="Probabilidad",V20="Probabilidad"),(AE19-(+AE19*Y20)),IF(AND(V19="Impacto",V20="Probabilidad"),(AE18-(+AE18*Y20)),IF(V20="Impacto",AE19,""))),"")</f>
        <v>0.12959999999999999</v>
      </c>
      <c r="AD20" s="212" t="str">
        <f t="shared" si="1"/>
        <v>Muy Baja</v>
      </c>
      <c r="AE20" s="213">
        <f t="shared" si="9"/>
        <v>0.12959999999999999</v>
      </c>
      <c r="AF20" s="212" t="str">
        <f t="shared" si="3"/>
        <v>Catastrófico</v>
      </c>
      <c r="AG20" s="213">
        <f>IFERROR(IF(AND(V19="Impacto",V20="Impacto"),(AG19-(+AG19*Y20)),IF(AND(V19="Probabilidad",V20="Impacto"),(AG18-(+AG18*Y20)),IF(V20="Probabilidad",AG19,""))),"")</f>
        <v>1</v>
      </c>
      <c r="AH20" s="214" t="str">
        <f t="shared" si="10"/>
        <v>Extremo</v>
      </c>
      <c r="AI20" s="215" t="s">
        <v>135</v>
      </c>
      <c r="AJ20" s="344"/>
      <c r="AK20" s="335"/>
      <c r="AL20" s="336"/>
      <c r="AM20" s="336"/>
      <c r="AN20" s="385"/>
      <c r="AO20" s="335"/>
      <c r="AP20" s="344"/>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row>
    <row r="21" spans="1:73" s="169" customFormat="1" ht="136.5" customHeight="1" x14ac:dyDescent="0.2">
      <c r="A21" s="354"/>
      <c r="B21" s="351"/>
      <c r="C21" s="351"/>
      <c r="D21" s="338"/>
      <c r="E21" s="338"/>
      <c r="F21" s="350"/>
      <c r="G21" s="350"/>
      <c r="H21" s="347"/>
      <c r="I21" s="355"/>
      <c r="J21" s="353"/>
      <c r="K21" s="338"/>
      <c r="L21" s="339"/>
      <c r="M21" s="340"/>
      <c r="N21" s="342"/>
      <c r="O21" s="349"/>
      <c r="P21" s="342">
        <f>IF(NOT(ISERROR(MATCH(O21,_xlfn.ANCHORARRAY(I32),0))),N34&amp;"Por favor no seleccionar los criterios de impacto",O21)</f>
        <v>0</v>
      </c>
      <c r="Q21" s="340"/>
      <c r="R21" s="342"/>
      <c r="S21" s="343"/>
      <c r="T21" s="206">
        <v>4</v>
      </c>
      <c r="U21" s="207" t="s">
        <v>449</v>
      </c>
      <c r="V21" s="208" t="str">
        <f t="shared" ref="V21:V23" si="11">IF(OR(W21="Preventivo",W21="Detectivo"),"Probabilidad",IF(W21="Correctivo","Impacto",""))</f>
        <v>Probabilidad</v>
      </c>
      <c r="W21" s="209" t="s">
        <v>14</v>
      </c>
      <c r="X21" s="209" t="s">
        <v>9</v>
      </c>
      <c r="Y21" s="210" t="str">
        <f t="shared" si="8"/>
        <v>40%</v>
      </c>
      <c r="Z21" s="209" t="s">
        <v>19</v>
      </c>
      <c r="AA21" s="209" t="s">
        <v>22</v>
      </c>
      <c r="AB21" s="209" t="s">
        <v>119</v>
      </c>
      <c r="AC21" s="211">
        <f t="shared" ref="AC21:AC23" si="12">IFERROR(IF(AND(V20="Probabilidad",V21="Probabilidad"),(AE20-(+AE20*Y21)),IF(AND(V20="Impacto",V21="Probabilidad"),(AE19-(+AE19*Y21)),IF(V21="Impacto",AE20,""))),"")</f>
        <v>7.7759999999999996E-2</v>
      </c>
      <c r="AD21" s="212" t="str">
        <f t="shared" si="1"/>
        <v>Muy Baja</v>
      </c>
      <c r="AE21" s="213">
        <f t="shared" si="9"/>
        <v>7.7759999999999996E-2</v>
      </c>
      <c r="AF21" s="212" t="str">
        <f t="shared" si="3"/>
        <v>Catastrófico</v>
      </c>
      <c r="AG21" s="213">
        <f t="shared" ref="AG21:AG23" si="13">IFERROR(IF(AND(V20="Impacto",V21="Impacto"),(AG20-(+AG20*Y21)),IF(AND(V20="Probabilidad",V21="Impacto"),(AG19-(+AG19*Y21)),IF(V21="Probabilidad",AG20,""))),"")</f>
        <v>1</v>
      </c>
      <c r="AH21" s="214"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Extremo</v>
      </c>
      <c r="AI21" s="215" t="s">
        <v>135</v>
      </c>
      <c r="AJ21" s="344"/>
      <c r="AK21" s="335"/>
      <c r="AL21" s="336"/>
      <c r="AM21" s="336"/>
      <c r="AN21" s="385"/>
      <c r="AO21" s="335"/>
      <c r="AP21" s="344"/>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row>
    <row r="22" spans="1:73" s="169" customFormat="1" ht="114.75" customHeight="1" x14ac:dyDescent="0.2">
      <c r="A22" s="354"/>
      <c r="B22" s="351"/>
      <c r="C22" s="351"/>
      <c r="D22" s="338"/>
      <c r="E22" s="338"/>
      <c r="F22" s="350"/>
      <c r="G22" s="350"/>
      <c r="H22" s="347"/>
      <c r="I22" s="355"/>
      <c r="J22" s="353"/>
      <c r="K22" s="338"/>
      <c r="L22" s="339"/>
      <c r="M22" s="340"/>
      <c r="N22" s="342"/>
      <c r="O22" s="349"/>
      <c r="P22" s="342">
        <f>IF(NOT(ISERROR(MATCH(O22,_xlfn.ANCHORARRAY(I33),0))),N35&amp;"Por favor no seleccionar los criterios de impacto",O22)</f>
        <v>0</v>
      </c>
      <c r="Q22" s="340"/>
      <c r="R22" s="342"/>
      <c r="S22" s="343"/>
      <c r="T22" s="206">
        <v>5</v>
      </c>
      <c r="U22" s="207" t="s">
        <v>451</v>
      </c>
      <c r="V22" s="208" t="str">
        <f t="shared" si="11"/>
        <v>Probabilidad</v>
      </c>
      <c r="W22" s="209" t="s">
        <v>14</v>
      </c>
      <c r="X22" s="209" t="s">
        <v>9</v>
      </c>
      <c r="Y22" s="210" t="str">
        <f t="shared" si="8"/>
        <v>40%</v>
      </c>
      <c r="Z22" s="209" t="s">
        <v>19</v>
      </c>
      <c r="AA22" s="209" t="s">
        <v>22</v>
      </c>
      <c r="AB22" s="209" t="s">
        <v>119</v>
      </c>
      <c r="AC22" s="211">
        <f t="shared" si="12"/>
        <v>4.6655999999999996E-2</v>
      </c>
      <c r="AD22" s="212" t="str">
        <f t="shared" si="1"/>
        <v>Muy Baja</v>
      </c>
      <c r="AE22" s="213">
        <f t="shared" si="9"/>
        <v>4.6655999999999996E-2</v>
      </c>
      <c r="AF22" s="212" t="str">
        <f t="shared" si="3"/>
        <v>Catastrófico</v>
      </c>
      <c r="AG22" s="213">
        <f t="shared" si="13"/>
        <v>1</v>
      </c>
      <c r="AH22" s="214" t="str">
        <f t="shared" ref="AH22:AH23" si="14">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Extremo</v>
      </c>
      <c r="AI22" s="215" t="s">
        <v>135</v>
      </c>
      <c r="AJ22" s="344"/>
      <c r="AK22" s="335"/>
      <c r="AL22" s="336"/>
      <c r="AM22" s="336"/>
      <c r="AN22" s="385"/>
      <c r="AO22" s="335"/>
      <c r="AP22" s="344"/>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row>
    <row r="23" spans="1:73" s="169" customFormat="1" ht="122.25" x14ac:dyDescent="0.2">
      <c r="A23" s="354"/>
      <c r="B23" s="351"/>
      <c r="C23" s="351"/>
      <c r="D23" s="338"/>
      <c r="E23" s="338"/>
      <c r="F23" s="350"/>
      <c r="G23" s="350"/>
      <c r="H23" s="347"/>
      <c r="I23" s="355"/>
      <c r="J23" s="353"/>
      <c r="K23" s="338"/>
      <c r="L23" s="339"/>
      <c r="M23" s="340"/>
      <c r="N23" s="342"/>
      <c r="O23" s="349"/>
      <c r="P23" s="342">
        <f>IF(NOT(ISERROR(MATCH(O23,_xlfn.ANCHORARRAY(I34),0))),N36&amp;"Por favor no seleccionar los criterios de impacto",O23)</f>
        <v>0</v>
      </c>
      <c r="Q23" s="340"/>
      <c r="R23" s="342"/>
      <c r="S23" s="343"/>
      <c r="T23" s="206">
        <v>6</v>
      </c>
      <c r="U23" s="207" t="s">
        <v>452</v>
      </c>
      <c r="V23" s="208" t="str">
        <f t="shared" si="11"/>
        <v>Probabilidad</v>
      </c>
      <c r="W23" s="209" t="s">
        <v>15</v>
      </c>
      <c r="X23" s="209" t="s">
        <v>9</v>
      </c>
      <c r="Y23" s="210" t="str">
        <f t="shared" si="8"/>
        <v>30%</v>
      </c>
      <c r="Z23" s="209" t="s">
        <v>19</v>
      </c>
      <c r="AA23" s="209" t="s">
        <v>22</v>
      </c>
      <c r="AB23" s="209" t="s">
        <v>119</v>
      </c>
      <c r="AC23" s="211">
        <f t="shared" si="12"/>
        <v>3.2659199999999999E-2</v>
      </c>
      <c r="AD23" s="212" t="str">
        <f t="shared" si="1"/>
        <v>Muy Baja</v>
      </c>
      <c r="AE23" s="213">
        <f t="shared" si="9"/>
        <v>3.2659199999999999E-2</v>
      </c>
      <c r="AF23" s="212" t="str">
        <f t="shared" si="3"/>
        <v>Catastrófico</v>
      </c>
      <c r="AG23" s="213">
        <f t="shared" si="13"/>
        <v>1</v>
      </c>
      <c r="AH23" s="214" t="str">
        <f t="shared" si="14"/>
        <v>Extremo</v>
      </c>
      <c r="AI23" s="215" t="s">
        <v>135</v>
      </c>
      <c r="AJ23" s="344"/>
      <c r="AK23" s="335"/>
      <c r="AL23" s="336"/>
      <c r="AM23" s="336"/>
      <c r="AN23" s="385"/>
      <c r="AO23" s="335"/>
      <c r="AP23" s="344"/>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row>
    <row r="24" spans="1:73" s="169" customFormat="1" ht="114" customHeight="1" x14ac:dyDescent="0.2">
      <c r="A24" s="354" t="s">
        <v>359</v>
      </c>
      <c r="B24" s="351"/>
      <c r="C24" s="351" t="s">
        <v>232</v>
      </c>
      <c r="D24" s="338" t="s">
        <v>131</v>
      </c>
      <c r="E24" s="338" t="s">
        <v>389</v>
      </c>
      <c r="F24" s="338" t="s">
        <v>388</v>
      </c>
      <c r="G24" s="350" t="s">
        <v>383</v>
      </c>
      <c r="H24" s="350" t="s">
        <v>382</v>
      </c>
      <c r="I24" s="355" t="s">
        <v>482</v>
      </c>
      <c r="J24" s="355" t="s">
        <v>381</v>
      </c>
      <c r="K24" s="338" t="s">
        <v>356</v>
      </c>
      <c r="L24" s="339">
        <v>720</v>
      </c>
      <c r="M24" s="340" t="str">
        <f>IF(L24&lt;=0,"",IF(L24&lt;=2,"Muy Baja",IF(L24&lt;=24,"Baja",IF(L24&lt;=500,"Media",IF(L24&lt;=5000,"Alta","Muy Alta")))))</f>
        <v>Alta</v>
      </c>
      <c r="N24" s="342">
        <f>IF(M24="","",IF(M24="Muy Baja",0.2,IF(M24="Baja",0.4,IF(M24="Media",0.6,IF(M24="Alta",0.8,IF(M24="Muy Alta",1,))))))</f>
        <v>0.8</v>
      </c>
      <c r="O24" s="349" t="s">
        <v>154</v>
      </c>
      <c r="P24" s="342" t="str">
        <f>IF(NOT(ISERROR(MATCH(O24,'Tabla Impacto'!$B$221:$B$223,0))),'Tabla Impacto'!$F$223&amp;"Por favor no seleccionar los criterios de impacto(Afectación Económica o presupuestal y Pérdida Reputacional)",O24)</f>
        <v xml:space="preserve">     El riesgo afecta la imagen de la entidad a nivel nacional, con efecto publicitarios sostenible a nivel país</v>
      </c>
      <c r="Q24" s="340" t="str">
        <f>IF(OR(P24='Tabla Impacto'!$C$11,P24='Tabla Impacto'!$D$11),"Leve",IF(OR(P24='Tabla Impacto'!$C$12,P24='Tabla Impacto'!$D$12),"Menor",IF(OR(P24='Tabla Impacto'!$C$13,P24='Tabla Impacto'!$D$13),"Moderado",IF(OR(P24='Tabla Impacto'!$C$14,P24='Tabla Impacto'!$D$14),"Mayor",IF(OR(P24='Tabla Impacto'!$C$15,P24='Tabla Impacto'!$D$15),"Catastrófico","")))))</f>
        <v>Catastrófico</v>
      </c>
      <c r="R24" s="342">
        <f>IF(Q24="","",IF(Q24="Leve",0.2,IF(Q24="Menor",0.4,IF(Q24="Moderado",0.6,IF(Q24="Mayor",0.8,IF(Q24="Catastrófico",1,))))))</f>
        <v>1</v>
      </c>
      <c r="S24" s="343"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Extremo</v>
      </c>
      <c r="T24" s="206">
        <v>1</v>
      </c>
      <c r="U24" s="216" t="s">
        <v>440</v>
      </c>
      <c r="V24" s="208" t="str">
        <f>IF(OR(W24="Preventivo",W24="Detectivo"),"Probabilidad",IF(W24="Correctivo","Impacto",""))</f>
        <v>Probabilidad</v>
      </c>
      <c r="W24" s="209" t="s">
        <v>14</v>
      </c>
      <c r="X24" s="209" t="s">
        <v>9</v>
      </c>
      <c r="Y24" s="210" t="str">
        <f>IF(AND(W24="Preventivo",X24="Automático"),"50%",IF(AND(W24="Preventivo",X24="Manual"),"40%",IF(AND(W24="Detectivo",X24="Automático"),"40%",IF(AND(W24="Detectivo",X24="Manual"),"30%",IF(AND(W24="Correctivo",X24="Automático"),"35%",IF(AND(W24="Correctivo",X24="Manual"),"25%",""))))))</f>
        <v>40%</v>
      </c>
      <c r="Z24" s="209" t="s">
        <v>19</v>
      </c>
      <c r="AA24" s="209" t="s">
        <v>22</v>
      </c>
      <c r="AB24" s="209" t="s">
        <v>119</v>
      </c>
      <c r="AC24" s="217">
        <f>IFERROR(IF(V24="Probabilidad",(N24-(+N24*Y24)),IF(V24="Impacto",N24,"")),"")</f>
        <v>0.48</v>
      </c>
      <c r="AD24" s="212" t="str">
        <f>IFERROR(IF(AC24="","",IF(AC24&lt;=0.2,"Muy Baja",IF(AC24&lt;=0.4,"Baja",IF(AC24&lt;=0.6,"Media",IF(AC24&lt;=0.8,"Alta","Muy Alta"))))),"")</f>
        <v>Media</v>
      </c>
      <c r="AE24" s="213">
        <f>+AC24</f>
        <v>0.48</v>
      </c>
      <c r="AF24" s="212" t="str">
        <f>IFERROR(IF(AG24="","",IF(AG24&lt;=0.2,"Leve",IF(AG24&lt;=0.4,"Menor",IF(AG24&lt;=0.6,"Moderado",IF(AG24&lt;=0.8,"Mayor","Catastrófico"))))),"")</f>
        <v>Catastrófico</v>
      </c>
      <c r="AG24" s="213">
        <f>IFERROR(IF(V24="Impacto",(R24-(+R24*Y24)),IF(V24="Probabilidad",R24,"")),"")</f>
        <v>1</v>
      </c>
      <c r="AH24" s="214"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Extremo</v>
      </c>
      <c r="AI24" s="215" t="s">
        <v>135</v>
      </c>
      <c r="AJ24" s="344" t="s">
        <v>438</v>
      </c>
      <c r="AK24" s="335" t="s">
        <v>287</v>
      </c>
      <c r="AL24" s="336">
        <v>44928</v>
      </c>
      <c r="AM24" s="336">
        <v>45289</v>
      </c>
      <c r="AN24" s="385" t="s">
        <v>417</v>
      </c>
      <c r="AO24" s="335" t="s">
        <v>436</v>
      </c>
      <c r="AP24" s="344" t="s">
        <v>439</v>
      </c>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row>
    <row r="25" spans="1:73" s="169" customFormat="1" ht="129" customHeight="1" x14ac:dyDescent="0.2">
      <c r="A25" s="354"/>
      <c r="B25" s="351"/>
      <c r="C25" s="351"/>
      <c r="D25" s="338"/>
      <c r="E25" s="338"/>
      <c r="F25" s="338"/>
      <c r="G25" s="350"/>
      <c r="H25" s="350"/>
      <c r="I25" s="355"/>
      <c r="J25" s="355"/>
      <c r="K25" s="338"/>
      <c r="L25" s="339"/>
      <c r="M25" s="340"/>
      <c r="N25" s="342"/>
      <c r="O25" s="349"/>
      <c r="P25" s="342">
        <f>IF(NOT(ISERROR(MATCH(O25,_xlfn.ANCHORARRAY(I36),0))),N38&amp;"Por favor no seleccionar los criterios de impacto",O25)</f>
        <v>0</v>
      </c>
      <c r="Q25" s="340"/>
      <c r="R25" s="342"/>
      <c r="S25" s="343"/>
      <c r="T25" s="206">
        <v>2</v>
      </c>
      <c r="U25" s="216" t="s">
        <v>442</v>
      </c>
      <c r="V25" s="208" t="str">
        <f>IF(OR(W25="Preventivo",W25="Detectivo"),"Probabilidad",IF(W25="Correctivo","Impacto",""))</f>
        <v>Probabilidad</v>
      </c>
      <c r="W25" s="209" t="s">
        <v>14</v>
      </c>
      <c r="X25" s="209" t="s">
        <v>9</v>
      </c>
      <c r="Y25" s="210" t="str">
        <f t="shared" ref="Y25:Y29" si="15">IF(AND(W25="Preventivo",X25="Automático"),"50%",IF(AND(W25="Preventivo",X25="Manual"),"40%",IF(AND(W25="Detectivo",X25="Automático"),"40%",IF(AND(W25="Detectivo",X25="Manual"),"30%",IF(AND(W25="Correctivo",X25="Automático"),"35%",IF(AND(W25="Correctivo",X25="Manual"),"25%",""))))))</f>
        <v>40%</v>
      </c>
      <c r="Z25" s="209" t="s">
        <v>19</v>
      </c>
      <c r="AA25" s="209" t="s">
        <v>22</v>
      </c>
      <c r="AB25" s="209" t="s">
        <v>119</v>
      </c>
      <c r="AC25" s="218">
        <f>IFERROR(IF(AND(V24="Probabilidad",V25="Probabilidad"),(AE24-(+AE24*Y25)),IF(V25="Probabilidad",(N24-(+N24*Y25)),IF(V25="Impacto",AE24,""))),"")</f>
        <v>0.28799999999999998</v>
      </c>
      <c r="AD25" s="212" t="str">
        <f t="shared" si="1"/>
        <v>Baja</v>
      </c>
      <c r="AE25" s="213">
        <f t="shared" ref="AE25:AE29" si="16">+AC25</f>
        <v>0.28799999999999998</v>
      </c>
      <c r="AF25" s="212" t="str">
        <f t="shared" si="3"/>
        <v>Catastrófico</v>
      </c>
      <c r="AG25" s="213">
        <f>IFERROR(IF(AND(V24="Impacto",V25="Impacto"),(AG24-(+AG24*Y25)),IF(V25="Impacto",(R24-(+R24*Y25)),IF(V25="Probabilidad",AG24,""))),"")</f>
        <v>1</v>
      </c>
      <c r="AH25" s="214" t="str">
        <f t="shared" ref="AH25:AH26" si="17">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Extremo</v>
      </c>
      <c r="AI25" s="215" t="s">
        <v>135</v>
      </c>
      <c r="AJ25" s="344"/>
      <c r="AK25" s="335"/>
      <c r="AL25" s="336"/>
      <c r="AM25" s="336"/>
      <c r="AN25" s="385"/>
      <c r="AO25" s="335"/>
      <c r="AP25" s="344"/>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row>
    <row r="26" spans="1:73" s="169" customFormat="1" ht="96.75" customHeight="1" x14ac:dyDescent="0.2">
      <c r="A26" s="354"/>
      <c r="B26" s="351"/>
      <c r="C26" s="351"/>
      <c r="D26" s="338"/>
      <c r="E26" s="338"/>
      <c r="F26" s="338"/>
      <c r="G26" s="350"/>
      <c r="H26" s="350"/>
      <c r="I26" s="355"/>
      <c r="J26" s="355"/>
      <c r="K26" s="338"/>
      <c r="L26" s="339"/>
      <c r="M26" s="340"/>
      <c r="N26" s="342"/>
      <c r="O26" s="349"/>
      <c r="P26" s="342">
        <f>IF(NOT(ISERROR(MATCH(O26,_xlfn.ANCHORARRAY(I37),0))),N39&amp;"Por favor no seleccionar los criterios de impacto",O26)</f>
        <v>0</v>
      </c>
      <c r="Q26" s="340"/>
      <c r="R26" s="342"/>
      <c r="S26" s="343"/>
      <c r="T26" s="206">
        <v>3</v>
      </c>
      <c r="U26" s="216" t="s">
        <v>441</v>
      </c>
      <c r="V26" s="208" t="str">
        <f>IF(OR(W26="Preventivo",W26="Detectivo"),"Probabilidad",IF(W26="Correctivo","Impacto",""))</f>
        <v>Probabilidad</v>
      </c>
      <c r="W26" s="209" t="s">
        <v>15</v>
      </c>
      <c r="X26" s="209" t="s">
        <v>9</v>
      </c>
      <c r="Y26" s="210" t="str">
        <f t="shared" si="15"/>
        <v>30%</v>
      </c>
      <c r="Z26" s="209" t="s">
        <v>19</v>
      </c>
      <c r="AA26" s="209" t="s">
        <v>22</v>
      </c>
      <c r="AB26" s="209" t="s">
        <v>119</v>
      </c>
      <c r="AC26" s="211">
        <f>IFERROR(IF(AND(V25="Probabilidad",V26="Probabilidad"),(AE25-(+AE25*Y26)),IF(AND(V25="Impacto",V26="Probabilidad"),(AE24-(+AE24*Y26)),IF(V26="Impacto",AE25,""))),"")</f>
        <v>0.2016</v>
      </c>
      <c r="AD26" s="212" t="str">
        <f t="shared" si="1"/>
        <v>Baja</v>
      </c>
      <c r="AE26" s="213">
        <f t="shared" si="16"/>
        <v>0.2016</v>
      </c>
      <c r="AF26" s="212" t="str">
        <f t="shared" si="3"/>
        <v>Catastrófico</v>
      </c>
      <c r="AG26" s="213">
        <f>IFERROR(IF(AND(V25="Impacto",V26="Impacto"),(AG25-(+AG25*Y26)),IF(AND(V25="Probabilidad",V26="Impacto"),(AG24-(+AG24*Y26)),IF(V26="Probabilidad",AG25,""))),"")</f>
        <v>1</v>
      </c>
      <c r="AH26" s="214" t="str">
        <f t="shared" si="17"/>
        <v>Extremo</v>
      </c>
      <c r="AI26" s="215" t="s">
        <v>135</v>
      </c>
      <c r="AJ26" s="344"/>
      <c r="AK26" s="335"/>
      <c r="AL26" s="336"/>
      <c r="AM26" s="336"/>
      <c r="AN26" s="385"/>
      <c r="AO26" s="335"/>
      <c r="AP26" s="344"/>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row>
    <row r="27" spans="1:73" s="169" customFormat="1" ht="93.75" customHeight="1" x14ac:dyDescent="0.2">
      <c r="A27" s="354"/>
      <c r="B27" s="351"/>
      <c r="C27" s="351"/>
      <c r="D27" s="338"/>
      <c r="E27" s="338"/>
      <c r="F27" s="338"/>
      <c r="G27" s="350"/>
      <c r="H27" s="350"/>
      <c r="I27" s="355"/>
      <c r="J27" s="355"/>
      <c r="K27" s="338"/>
      <c r="L27" s="339"/>
      <c r="M27" s="340"/>
      <c r="N27" s="342"/>
      <c r="O27" s="349"/>
      <c r="P27" s="342">
        <f>IF(NOT(ISERROR(MATCH(O27,_xlfn.ANCHORARRAY(I38),0))),N40&amp;"Por favor no seleccionar los criterios de impacto",O27)</f>
        <v>0</v>
      </c>
      <c r="Q27" s="340"/>
      <c r="R27" s="342"/>
      <c r="S27" s="343"/>
      <c r="T27" s="206">
        <v>4</v>
      </c>
      <c r="U27" s="207" t="s">
        <v>413</v>
      </c>
      <c r="V27" s="208" t="str">
        <f t="shared" ref="V27:V29" si="18">IF(OR(W27="Preventivo",W27="Detectivo"),"Probabilidad",IF(W27="Correctivo","Impacto",""))</f>
        <v>Impacto</v>
      </c>
      <c r="W27" s="209" t="s">
        <v>16</v>
      </c>
      <c r="X27" s="209" t="s">
        <v>9</v>
      </c>
      <c r="Y27" s="210" t="str">
        <f t="shared" si="15"/>
        <v>25%</v>
      </c>
      <c r="Z27" s="209" t="s">
        <v>19</v>
      </c>
      <c r="AA27" s="209" t="s">
        <v>22</v>
      </c>
      <c r="AB27" s="209" t="s">
        <v>119</v>
      </c>
      <c r="AC27" s="211">
        <f t="shared" ref="AC27:AC29" si="19">IFERROR(IF(AND(V26="Probabilidad",V27="Probabilidad"),(AE26-(+AE26*Y27)),IF(AND(V26="Impacto",V27="Probabilidad"),(AE25-(+AE25*Y27)),IF(V27="Impacto",AE26,""))),"")</f>
        <v>0.2016</v>
      </c>
      <c r="AD27" s="212" t="str">
        <f t="shared" si="1"/>
        <v>Baja</v>
      </c>
      <c r="AE27" s="213">
        <f t="shared" si="16"/>
        <v>0.2016</v>
      </c>
      <c r="AF27" s="212" t="str">
        <f t="shared" si="3"/>
        <v>Mayor</v>
      </c>
      <c r="AG27" s="213">
        <f t="shared" ref="AG27:AG29" si="20">IFERROR(IF(AND(V26="Impacto",V27="Impacto"),(AG26-(+AG26*Y27)),IF(AND(V26="Probabilidad",V27="Impacto"),(AG25-(+AG25*Y27)),IF(V27="Probabilidad",AG26,""))),"")</f>
        <v>0.75</v>
      </c>
      <c r="AH27" s="214"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Alto</v>
      </c>
      <c r="AI27" s="215" t="s">
        <v>135</v>
      </c>
      <c r="AJ27" s="344"/>
      <c r="AK27" s="335"/>
      <c r="AL27" s="336"/>
      <c r="AM27" s="336"/>
      <c r="AN27" s="385"/>
      <c r="AO27" s="335"/>
      <c r="AP27" s="344"/>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row>
    <row r="28" spans="1:73" s="169" customFormat="1" ht="66.75" customHeight="1" x14ac:dyDescent="0.2">
      <c r="A28" s="354"/>
      <c r="B28" s="351"/>
      <c r="C28" s="351"/>
      <c r="D28" s="338"/>
      <c r="E28" s="338"/>
      <c r="F28" s="338"/>
      <c r="G28" s="350"/>
      <c r="H28" s="350"/>
      <c r="I28" s="355"/>
      <c r="J28" s="355"/>
      <c r="K28" s="338"/>
      <c r="L28" s="339"/>
      <c r="M28" s="340"/>
      <c r="N28" s="342"/>
      <c r="O28" s="349"/>
      <c r="P28" s="342">
        <f>IF(NOT(ISERROR(MATCH(O28,_xlfn.ANCHORARRAY(I39),0))),N41&amp;"Por favor no seleccionar los criterios de impacto",O28)</f>
        <v>0</v>
      </c>
      <c r="Q28" s="340"/>
      <c r="R28" s="342"/>
      <c r="S28" s="343"/>
      <c r="T28" s="206">
        <v>5</v>
      </c>
      <c r="U28" s="207"/>
      <c r="V28" s="208" t="str">
        <f t="shared" si="18"/>
        <v/>
      </c>
      <c r="W28" s="209"/>
      <c r="X28" s="209"/>
      <c r="Y28" s="210" t="str">
        <f t="shared" si="15"/>
        <v/>
      </c>
      <c r="Z28" s="209"/>
      <c r="AA28" s="209"/>
      <c r="AB28" s="209"/>
      <c r="AC28" s="211" t="str">
        <f t="shared" si="19"/>
        <v/>
      </c>
      <c r="AD28" s="212" t="str">
        <f t="shared" si="1"/>
        <v/>
      </c>
      <c r="AE28" s="213" t="str">
        <f t="shared" si="16"/>
        <v/>
      </c>
      <c r="AF28" s="212" t="str">
        <f t="shared" si="3"/>
        <v/>
      </c>
      <c r="AG28" s="213" t="str">
        <f t="shared" si="20"/>
        <v/>
      </c>
      <c r="AH28" s="214" t="str">
        <f t="shared" ref="AH28:AH29" si="21">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215"/>
      <c r="AJ28" s="344"/>
      <c r="AK28" s="335"/>
      <c r="AL28" s="336"/>
      <c r="AM28" s="336"/>
      <c r="AN28" s="385"/>
      <c r="AO28" s="335"/>
      <c r="AP28" s="344"/>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row>
    <row r="29" spans="1:73" s="169" customFormat="1" ht="66.75" customHeight="1" x14ac:dyDescent="0.2">
      <c r="A29" s="354"/>
      <c r="B29" s="351"/>
      <c r="C29" s="351"/>
      <c r="D29" s="338"/>
      <c r="E29" s="338"/>
      <c r="F29" s="338"/>
      <c r="G29" s="350"/>
      <c r="H29" s="350"/>
      <c r="I29" s="355"/>
      <c r="J29" s="355"/>
      <c r="K29" s="338"/>
      <c r="L29" s="339"/>
      <c r="M29" s="340"/>
      <c r="N29" s="342"/>
      <c r="O29" s="349"/>
      <c r="P29" s="342">
        <f>IF(NOT(ISERROR(MATCH(O29,_xlfn.ANCHORARRAY(I40),0))),N42&amp;"Por favor no seleccionar los criterios de impacto",O29)</f>
        <v>0</v>
      </c>
      <c r="Q29" s="340"/>
      <c r="R29" s="342"/>
      <c r="S29" s="343"/>
      <c r="T29" s="206">
        <v>6</v>
      </c>
      <c r="U29" s="207"/>
      <c r="V29" s="208" t="str">
        <f t="shared" si="18"/>
        <v/>
      </c>
      <c r="W29" s="209"/>
      <c r="X29" s="209"/>
      <c r="Y29" s="210" t="str">
        <f t="shared" si="15"/>
        <v/>
      </c>
      <c r="Z29" s="209"/>
      <c r="AA29" s="209"/>
      <c r="AB29" s="209"/>
      <c r="AC29" s="211" t="str">
        <f t="shared" si="19"/>
        <v/>
      </c>
      <c r="AD29" s="212" t="str">
        <f t="shared" si="1"/>
        <v/>
      </c>
      <c r="AE29" s="213" t="str">
        <f t="shared" si="16"/>
        <v/>
      </c>
      <c r="AF29" s="212" t="str">
        <f t="shared" si="3"/>
        <v/>
      </c>
      <c r="AG29" s="213" t="str">
        <f t="shared" si="20"/>
        <v/>
      </c>
      <c r="AH29" s="214" t="str">
        <f t="shared" si="21"/>
        <v/>
      </c>
      <c r="AI29" s="215"/>
      <c r="AJ29" s="344"/>
      <c r="AK29" s="335"/>
      <c r="AL29" s="336"/>
      <c r="AM29" s="336"/>
      <c r="AN29" s="385"/>
      <c r="AO29" s="335"/>
      <c r="AP29" s="344"/>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row>
    <row r="30" spans="1:73" s="169" customFormat="1" ht="191.25" customHeight="1" x14ac:dyDescent="0.2">
      <c r="A30" s="354" t="s">
        <v>360</v>
      </c>
      <c r="B30" s="351" t="s">
        <v>231</v>
      </c>
      <c r="C30" s="351" t="s">
        <v>235</v>
      </c>
      <c r="D30" s="338" t="s">
        <v>131</v>
      </c>
      <c r="E30" s="338" t="s">
        <v>389</v>
      </c>
      <c r="F30" s="338" t="s">
        <v>392</v>
      </c>
      <c r="G30" s="355" t="s">
        <v>391</v>
      </c>
      <c r="H30" s="355" t="s">
        <v>460</v>
      </c>
      <c r="I30" s="355" t="s">
        <v>461</v>
      </c>
      <c r="J30" s="355" t="s">
        <v>390</v>
      </c>
      <c r="K30" s="338" t="s">
        <v>356</v>
      </c>
      <c r="L30" s="339">
        <v>500</v>
      </c>
      <c r="M30" s="340" t="str">
        <f>IF(L30&lt;=0,"",IF(L30&lt;=2,"Muy Baja",IF(L30&lt;=24,"Baja",IF(L30&lt;=500,"Media",IF(L30&lt;=5000,"Alta","Muy Alta")))))</f>
        <v>Media</v>
      </c>
      <c r="N30" s="342">
        <f>IF(M30="","",IF(M30="Muy Baja",0.2,IF(M30="Baja",0.4,IF(M30="Media",0.6,IF(M30="Alta",0.8,IF(M30="Muy Alta",1,))))))</f>
        <v>0.6</v>
      </c>
      <c r="O30" s="349" t="s">
        <v>148</v>
      </c>
      <c r="P30" s="342" t="str">
        <f>IF(NOT(ISERROR(MATCH(O30,'Tabla Impacto'!$B$221:$B$223,0))),'Tabla Impacto'!$F$223&amp;"Por favor no seleccionar los criterios de impacto(Afectación Económica o presupuestal y Pérdida Reputacional)",O30)</f>
        <v xml:space="preserve">     Entre 100 y 500 SMLMV </v>
      </c>
      <c r="Q30" s="340" t="str">
        <f>IF(OR(P30='Tabla Impacto'!$C$11,P30='Tabla Impacto'!$D$11),"Leve",IF(OR(P30='Tabla Impacto'!$C$12,P30='Tabla Impacto'!$D$12),"Menor",IF(OR(P30='Tabla Impacto'!$C$13,P30='Tabla Impacto'!$D$13),"Moderado",IF(OR(P30='Tabla Impacto'!$C$14,P30='Tabla Impacto'!$D$14),"Mayor",IF(OR(P30='Tabla Impacto'!$C$15,P30='Tabla Impacto'!$D$15),"Catastrófico","")))))</f>
        <v>Mayor</v>
      </c>
      <c r="R30" s="342">
        <f>IF(Q30="","",IF(Q30="Leve",0.2,IF(Q30="Menor",0.4,IF(Q30="Moderado",0.6,IF(Q30="Mayor",0.8,IF(Q30="Catastrófico",1,))))))</f>
        <v>0.8</v>
      </c>
      <c r="S30" s="343"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Alto</v>
      </c>
      <c r="T30" s="206">
        <v>1</v>
      </c>
      <c r="U30" s="216" t="s">
        <v>430</v>
      </c>
      <c r="V30" s="208" t="str">
        <f>IF(OR(W30="Preventivo",W30="Detectivo"),"Probabilidad",IF(W30="Correctivo","Impacto",""))</f>
        <v>Probabilidad</v>
      </c>
      <c r="W30" s="209" t="s">
        <v>14</v>
      </c>
      <c r="X30" s="209" t="s">
        <v>10</v>
      </c>
      <c r="Y30" s="210" t="str">
        <f>IF(AND(W30="Preventivo",X30="Automático"),"50%",IF(AND(W30="Preventivo",X30="Manual"),"40%",IF(AND(W30="Detectivo",X30="Automático"),"40%",IF(AND(W30="Detectivo",X30="Manual"),"30%",IF(AND(W30="Correctivo",X30="Automático"),"35%",IF(AND(W30="Correctivo",X30="Manual"),"25%",""))))))</f>
        <v>50%</v>
      </c>
      <c r="Z30" s="209" t="s">
        <v>19</v>
      </c>
      <c r="AA30" s="209" t="s">
        <v>22</v>
      </c>
      <c r="AB30" s="209" t="s">
        <v>119</v>
      </c>
      <c r="AC30" s="211">
        <f>IFERROR(IF(V30="Probabilidad",(N30-(+N30*Y30)),IF(V30="Impacto",N30,"")),"")</f>
        <v>0.3</v>
      </c>
      <c r="AD30" s="212" t="str">
        <f>IFERROR(IF(AC30="","",IF(AC30&lt;=0.2,"Muy Baja",IF(AC30&lt;=0.4,"Baja",IF(AC30&lt;=0.6,"Media",IF(AC30&lt;=0.8,"Alta","Muy Alta"))))),"")</f>
        <v>Baja</v>
      </c>
      <c r="AE30" s="213">
        <f>+AC30</f>
        <v>0.3</v>
      </c>
      <c r="AF30" s="212" t="str">
        <f>IFERROR(IF(AG30="","",IF(AG30&lt;=0.2,"Leve",IF(AG30&lt;=0.4,"Menor",IF(AG30&lt;=0.6,"Moderado",IF(AG30&lt;=0.8,"Mayor","Catastrófico"))))),"")</f>
        <v>Mayor</v>
      </c>
      <c r="AG30" s="213">
        <f>IFERROR(IF(V30="Impacto",(R30-(+R30*Y30)),IF(V30="Probabilidad",R30,"")),"")</f>
        <v>0.8</v>
      </c>
      <c r="AH30" s="214"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Alto</v>
      </c>
      <c r="AI30" s="215" t="s">
        <v>135</v>
      </c>
      <c r="AJ30" s="399" t="s">
        <v>435</v>
      </c>
      <c r="AK30" s="335" t="s">
        <v>289</v>
      </c>
      <c r="AL30" s="336">
        <v>44927</v>
      </c>
      <c r="AM30" s="336">
        <v>45291</v>
      </c>
      <c r="AN30" s="385" t="s">
        <v>417</v>
      </c>
      <c r="AO30" s="335" t="s">
        <v>436</v>
      </c>
      <c r="AP30" s="399" t="s">
        <v>437</v>
      </c>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row>
    <row r="31" spans="1:73" s="169" customFormat="1" ht="125.25" customHeight="1" x14ac:dyDescent="0.2">
      <c r="A31" s="354"/>
      <c r="B31" s="351"/>
      <c r="C31" s="351"/>
      <c r="D31" s="338"/>
      <c r="E31" s="338"/>
      <c r="F31" s="338"/>
      <c r="G31" s="355"/>
      <c r="H31" s="355"/>
      <c r="I31" s="355"/>
      <c r="J31" s="355"/>
      <c r="K31" s="338"/>
      <c r="L31" s="339"/>
      <c r="M31" s="340"/>
      <c r="N31" s="342"/>
      <c r="O31" s="349"/>
      <c r="P31" s="342">
        <f>IF(NOT(ISERROR(MATCH(O31,_xlfn.ANCHORARRAY(I42),0))),N44&amp;"Por favor no seleccionar los criterios de impacto",O31)</f>
        <v>0</v>
      </c>
      <c r="Q31" s="340"/>
      <c r="R31" s="342"/>
      <c r="S31" s="343"/>
      <c r="T31" s="206">
        <v>2</v>
      </c>
      <c r="U31" s="216" t="s">
        <v>431</v>
      </c>
      <c r="V31" s="208" t="str">
        <f>IF(OR(W31="Preventivo",W31="Detectivo"),"Probabilidad",IF(W31="Correctivo","Impacto",""))</f>
        <v>Probabilidad</v>
      </c>
      <c r="W31" s="209" t="s">
        <v>14</v>
      </c>
      <c r="X31" s="209" t="s">
        <v>9</v>
      </c>
      <c r="Y31" s="210" t="str">
        <f t="shared" ref="Y31:Y35" si="22">IF(AND(W31="Preventivo",X31="Automático"),"50%",IF(AND(W31="Preventivo",X31="Manual"),"40%",IF(AND(W31="Detectivo",X31="Automático"),"40%",IF(AND(W31="Detectivo",X31="Manual"),"30%",IF(AND(W31="Correctivo",X31="Automático"),"35%",IF(AND(W31="Correctivo",X31="Manual"),"25%",""))))))</f>
        <v>40%</v>
      </c>
      <c r="Z31" s="209" t="s">
        <v>19</v>
      </c>
      <c r="AA31" s="209" t="s">
        <v>22</v>
      </c>
      <c r="AB31" s="209" t="s">
        <v>119</v>
      </c>
      <c r="AC31" s="211">
        <f>IFERROR(IF(AND(V30="Probabilidad",V31="Probabilidad"),(AE30-(+AE30*Y31)),IF(V31="Probabilidad",(N30-(+N30*Y31)),IF(V31="Impacto",AE30,""))),"")</f>
        <v>0.18</v>
      </c>
      <c r="AD31" s="212" t="str">
        <f t="shared" si="1"/>
        <v>Muy Baja</v>
      </c>
      <c r="AE31" s="213">
        <f t="shared" ref="AE31:AE35" si="23">+AC31</f>
        <v>0.18</v>
      </c>
      <c r="AF31" s="212" t="str">
        <f t="shared" si="3"/>
        <v>Mayor</v>
      </c>
      <c r="AG31" s="213">
        <f>IFERROR(IF(AND(V30="Impacto",V31="Impacto"),(AG30-(+AG30*Y31)),IF(V31="Impacto",(R30-(+R30*Y31)),IF(V31="Probabilidad",AG30,""))),"")</f>
        <v>0.8</v>
      </c>
      <c r="AH31" s="214" t="str">
        <f t="shared" ref="AH31:AH32" si="24">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Alto</v>
      </c>
      <c r="AI31" s="215" t="s">
        <v>135</v>
      </c>
      <c r="AJ31" s="399"/>
      <c r="AK31" s="335"/>
      <c r="AL31" s="336"/>
      <c r="AM31" s="336"/>
      <c r="AN31" s="385"/>
      <c r="AO31" s="335"/>
      <c r="AP31" s="39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row>
    <row r="32" spans="1:73" s="169" customFormat="1" ht="108.75" customHeight="1" x14ac:dyDescent="0.2">
      <c r="A32" s="354"/>
      <c r="B32" s="351"/>
      <c r="C32" s="351"/>
      <c r="D32" s="338"/>
      <c r="E32" s="338"/>
      <c r="F32" s="338"/>
      <c r="G32" s="355"/>
      <c r="H32" s="355"/>
      <c r="I32" s="355"/>
      <c r="J32" s="355"/>
      <c r="K32" s="338"/>
      <c r="L32" s="339"/>
      <c r="M32" s="340"/>
      <c r="N32" s="342"/>
      <c r="O32" s="349"/>
      <c r="P32" s="342">
        <f>IF(NOT(ISERROR(MATCH(O32,_xlfn.ANCHORARRAY(I43),0))),N45&amp;"Por favor no seleccionar los criterios de impacto",O32)</f>
        <v>0</v>
      </c>
      <c r="Q32" s="340"/>
      <c r="R32" s="342"/>
      <c r="S32" s="343"/>
      <c r="T32" s="206">
        <v>3</v>
      </c>
      <c r="U32" s="216" t="s">
        <v>432</v>
      </c>
      <c r="V32" s="208" t="str">
        <f>IF(OR(W32="Preventivo",W32="Detectivo"),"Probabilidad",IF(W32="Correctivo","Impacto",""))</f>
        <v>Probabilidad</v>
      </c>
      <c r="W32" s="209" t="s">
        <v>14</v>
      </c>
      <c r="X32" s="209" t="s">
        <v>9</v>
      </c>
      <c r="Y32" s="210" t="str">
        <f t="shared" si="22"/>
        <v>40%</v>
      </c>
      <c r="Z32" s="209" t="s">
        <v>19</v>
      </c>
      <c r="AA32" s="209" t="s">
        <v>22</v>
      </c>
      <c r="AB32" s="209" t="s">
        <v>119</v>
      </c>
      <c r="AC32" s="211">
        <f>IFERROR(IF(AND(V31="Probabilidad",V32="Probabilidad"),(AE31-(+AE31*Y32)),IF(AND(V31="Impacto",V32="Probabilidad"),(AE30-(+AE30*Y32)),IF(V32="Impacto",AE31,""))),"")</f>
        <v>0.108</v>
      </c>
      <c r="AD32" s="212" t="str">
        <f t="shared" si="1"/>
        <v>Muy Baja</v>
      </c>
      <c r="AE32" s="213">
        <f t="shared" si="23"/>
        <v>0.108</v>
      </c>
      <c r="AF32" s="212" t="str">
        <f t="shared" si="3"/>
        <v>Mayor</v>
      </c>
      <c r="AG32" s="213">
        <f>IFERROR(IF(AND(V31="Impacto",V32="Impacto"),(AG31-(+AG31*Y32)),IF(AND(V31="Probabilidad",V32="Impacto"),(AG30-(+AG30*Y32)),IF(V32="Probabilidad",AG31,""))),"")</f>
        <v>0.8</v>
      </c>
      <c r="AH32" s="214" t="str">
        <f t="shared" si="24"/>
        <v>Alto</v>
      </c>
      <c r="AI32" s="215" t="s">
        <v>135</v>
      </c>
      <c r="AJ32" s="399"/>
      <c r="AK32" s="335"/>
      <c r="AL32" s="336"/>
      <c r="AM32" s="336"/>
      <c r="AN32" s="385"/>
      <c r="AO32" s="335"/>
      <c r="AP32" s="39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row>
    <row r="33" spans="1:73" s="169" customFormat="1" ht="105.75" customHeight="1" x14ac:dyDescent="0.2">
      <c r="A33" s="354"/>
      <c r="B33" s="351"/>
      <c r="C33" s="351"/>
      <c r="D33" s="338"/>
      <c r="E33" s="338"/>
      <c r="F33" s="338"/>
      <c r="G33" s="355"/>
      <c r="H33" s="355"/>
      <c r="I33" s="355"/>
      <c r="J33" s="355"/>
      <c r="K33" s="338"/>
      <c r="L33" s="339"/>
      <c r="M33" s="340"/>
      <c r="N33" s="342"/>
      <c r="O33" s="349"/>
      <c r="P33" s="342">
        <f>IF(NOT(ISERROR(MATCH(O33,_xlfn.ANCHORARRAY(I44),0))),N46&amp;"Por favor no seleccionar los criterios de impacto",O33)</f>
        <v>0</v>
      </c>
      <c r="Q33" s="340"/>
      <c r="R33" s="342"/>
      <c r="S33" s="343"/>
      <c r="T33" s="206">
        <v>4</v>
      </c>
      <c r="U33" s="216" t="s">
        <v>433</v>
      </c>
      <c r="V33" s="208" t="str">
        <f t="shared" ref="V33:V35" si="25">IF(OR(W33="Preventivo",W33="Detectivo"),"Probabilidad",IF(W33="Correctivo","Impacto",""))</f>
        <v>Probabilidad</v>
      </c>
      <c r="W33" s="209" t="s">
        <v>14</v>
      </c>
      <c r="X33" s="209" t="s">
        <v>9</v>
      </c>
      <c r="Y33" s="210" t="str">
        <f t="shared" si="22"/>
        <v>40%</v>
      </c>
      <c r="Z33" s="209" t="s">
        <v>20</v>
      </c>
      <c r="AA33" s="209" t="s">
        <v>22</v>
      </c>
      <c r="AB33" s="209" t="s">
        <v>119</v>
      </c>
      <c r="AC33" s="211">
        <f t="shared" ref="AC33:AC35" si="26">IFERROR(IF(AND(V32="Probabilidad",V33="Probabilidad"),(AE32-(+AE32*Y33)),IF(AND(V32="Impacto",V33="Probabilidad"),(AE31-(+AE31*Y33)),IF(V33="Impacto",AE32,""))),"")</f>
        <v>6.4799999999999996E-2</v>
      </c>
      <c r="AD33" s="212" t="str">
        <f t="shared" si="1"/>
        <v>Muy Baja</v>
      </c>
      <c r="AE33" s="213">
        <f t="shared" si="23"/>
        <v>6.4799999999999996E-2</v>
      </c>
      <c r="AF33" s="212" t="str">
        <f t="shared" si="3"/>
        <v>Mayor</v>
      </c>
      <c r="AG33" s="213">
        <f t="shared" ref="AG33:AG35" si="27">IFERROR(IF(AND(V32="Impacto",V33="Impacto"),(AG32-(+AG32*Y33)),IF(AND(V32="Probabilidad",V33="Impacto"),(AG31-(+AG31*Y33)),IF(V33="Probabilidad",AG32,""))),"")</f>
        <v>0.8</v>
      </c>
      <c r="AH33" s="214"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Alto</v>
      </c>
      <c r="AI33" s="215" t="s">
        <v>135</v>
      </c>
      <c r="AJ33" s="399"/>
      <c r="AK33" s="335"/>
      <c r="AL33" s="336"/>
      <c r="AM33" s="336"/>
      <c r="AN33" s="385"/>
      <c r="AO33" s="335"/>
      <c r="AP33" s="39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row>
    <row r="34" spans="1:73" s="169" customFormat="1" ht="121.5" customHeight="1" x14ac:dyDescent="0.2">
      <c r="A34" s="354"/>
      <c r="B34" s="351"/>
      <c r="C34" s="351"/>
      <c r="D34" s="338"/>
      <c r="E34" s="338"/>
      <c r="F34" s="338"/>
      <c r="G34" s="355"/>
      <c r="H34" s="355"/>
      <c r="I34" s="355"/>
      <c r="J34" s="355"/>
      <c r="K34" s="338"/>
      <c r="L34" s="339"/>
      <c r="M34" s="340"/>
      <c r="N34" s="342"/>
      <c r="O34" s="349"/>
      <c r="P34" s="342">
        <f>IF(NOT(ISERROR(MATCH(O34,_xlfn.ANCHORARRAY(I45),0))),N47&amp;"Por favor no seleccionar los criterios de impacto",O34)</f>
        <v>0</v>
      </c>
      <c r="Q34" s="340"/>
      <c r="R34" s="342"/>
      <c r="S34" s="343"/>
      <c r="T34" s="206">
        <v>5</v>
      </c>
      <c r="U34" s="216" t="s">
        <v>434</v>
      </c>
      <c r="V34" s="208" t="str">
        <f t="shared" si="25"/>
        <v>Probabilidad</v>
      </c>
      <c r="W34" s="209" t="s">
        <v>15</v>
      </c>
      <c r="X34" s="209" t="s">
        <v>10</v>
      </c>
      <c r="Y34" s="210" t="str">
        <f t="shared" si="22"/>
        <v>40%</v>
      </c>
      <c r="Z34" s="209" t="s">
        <v>19</v>
      </c>
      <c r="AA34" s="209" t="s">
        <v>22</v>
      </c>
      <c r="AB34" s="209" t="s">
        <v>119</v>
      </c>
      <c r="AC34" s="219">
        <f t="shared" si="26"/>
        <v>3.8879999999999998E-2</v>
      </c>
      <c r="AD34" s="212" t="str">
        <f>IFERROR(IF(AC34="","",IF(AC34&lt;=0.2,"Muy Baja",IF(AC34&lt;=0.4,"Baja",IF(AC34&lt;=0.6,"Media",IF(AC34&lt;=0.8,"Alta","Muy Alta"))))),"")</f>
        <v>Muy Baja</v>
      </c>
      <c r="AE34" s="213">
        <f t="shared" si="23"/>
        <v>3.8879999999999998E-2</v>
      </c>
      <c r="AF34" s="212" t="str">
        <f t="shared" si="3"/>
        <v>Mayor</v>
      </c>
      <c r="AG34" s="213">
        <f t="shared" si="27"/>
        <v>0.8</v>
      </c>
      <c r="AH34" s="214" t="str">
        <f t="shared" ref="AH34:AH35" si="28">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Alto</v>
      </c>
      <c r="AI34" s="215" t="s">
        <v>135</v>
      </c>
      <c r="AJ34" s="399"/>
      <c r="AK34" s="335"/>
      <c r="AL34" s="336"/>
      <c r="AM34" s="336"/>
      <c r="AN34" s="385"/>
      <c r="AO34" s="335"/>
      <c r="AP34" s="39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row>
    <row r="35" spans="1:73" s="169" customFormat="1" ht="66.75" customHeight="1" x14ac:dyDescent="0.2">
      <c r="A35" s="354"/>
      <c r="B35" s="351"/>
      <c r="C35" s="351"/>
      <c r="D35" s="338"/>
      <c r="E35" s="338"/>
      <c r="F35" s="338"/>
      <c r="G35" s="355"/>
      <c r="H35" s="355"/>
      <c r="I35" s="355"/>
      <c r="J35" s="355"/>
      <c r="K35" s="338"/>
      <c r="L35" s="339"/>
      <c r="M35" s="340"/>
      <c r="N35" s="342"/>
      <c r="O35" s="349"/>
      <c r="P35" s="342">
        <f>IF(NOT(ISERROR(MATCH(O35,_xlfn.ANCHORARRAY(I46),0))),N48&amp;"Por favor no seleccionar los criterios de impacto",O35)</f>
        <v>0</v>
      </c>
      <c r="Q35" s="340"/>
      <c r="R35" s="342"/>
      <c r="S35" s="343"/>
      <c r="T35" s="206">
        <v>6</v>
      </c>
      <c r="U35" s="207"/>
      <c r="V35" s="208" t="str">
        <f t="shared" si="25"/>
        <v/>
      </c>
      <c r="W35" s="209"/>
      <c r="X35" s="209"/>
      <c r="Y35" s="210" t="str">
        <f t="shared" si="22"/>
        <v/>
      </c>
      <c r="Z35" s="209"/>
      <c r="AA35" s="209"/>
      <c r="AB35" s="209"/>
      <c r="AC35" s="211" t="str">
        <f t="shared" si="26"/>
        <v/>
      </c>
      <c r="AD35" s="212" t="str">
        <f t="shared" si="1"/>
        <v/>
      </c>
      <c r="AE35" s="213" t="str">
        <f t="shared" si="23"/>
        <v/>
      </c>
      <c r="AF35" s="212" t="str">
        <f t="shared" si="3"/>
        <v/>
      </c>
      <c r="AG35" s="213" t="str">
        <f t="shared" si="27"/>
        <v/>
      </c>
      <c r="AH35" s="214" t="str">
        <f t="shared" si="28"/>
        <v/>
      </c>
      <c r="AI35" s="215"/>
      <c r="AJ35" s="399"/>
      <c r="AK35" s="335"/>
      <c r="AL35" s="336"/>
      <c r="AM35" s="336"/>
      <c r="AN35" s="385"/>
      <c r="AO35" s="335"/>
      <c r="AP35" s="39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row>
    <row r="36" spans="1:73" s="169" customFormat="1" ht="171" customHeight="1" x14ac:dyDescent="0.2">
      <c r="A36" s="354" t="s">
        <v>454</v>
      </c>
      <c r="B36" s="351"/>
      <c r="C36" s="351" t="s">
        <v>373</v>
      </c>
      <c r="D36" s="338" t="s">
        <v>131</v>
      </c>
      <c r="E36" s="338" t="s">
        <v>397</v>
      </c>
      <c r="F36" s="355" t="s">
        <v>396</v>
      </c>
      <c r="G36" s="355" t="s">
        <v>395</v>
      </c>
      <c r="H36" s="355" t="s">
        <v>394</v>
      </c>
      <c r="I36" s="355" t="s">
        <v>483</v>
      </c>
      <c r="J36" s="355" t="s">
        <v>393</v>
      </c>
      <c r="K36" s="338" t="s">
        <v>356</v>
      </c>
      <c r="L36" s="339">
        <v>2000</v>
      </c>
      <c r="M36" s="340" t="str">
        <f>IF(L36&lt;=0,"",IF(L36&lt;=2,"Muy Baja",IF(L36&lt;=24,"Baja",IF(L36&lt;=500,"Media",IF(L36&lt;=5000,"Alta","Muy Alta")))))</f>
        <v>Alta</v>
      </c>
      <c r="N36" s="342">
        <f>IF(M36="","",IF(M36="Muy Baja",0.2,IF(M36="Baja",0.4,IF(M36="Media",0.6,IF(M36="Alta",0.8,IF(M36="Muy Alta",1,))))))</f>
        <v>0.8</v>
      </c>
      <c r="O36" s="349" t="s">
        <v>148</v>
      </c>
      <c r="P36" s="342" t="str">
        <f>IF(NOT(ISERROR(MATCH(O36,'Tabla Impacto'!$B$221:$B$223,0))),'Tabla Impacto'!$F$223&amp;"Por favor no seleccionar los criterios de impacto(Afectación Económica o presupuestal y Pérdida Reputacional)",O36)</f>
        <v xml:space="preserve">     Entre 100 y 500 SMLMV </v>
      </c>
      <c r="Q36" s="340" t="str">
        <f>IF(OR(P36='Tabla Impacto'!$C$11,P36='Tabla Impacto'!$D$11),"Leve",IF(OR(P36='Tabla Impacto'!$C$12,P36='Tabla Impacto'!$D$12),"Menor",IF(OR(P36='Tabla Impacto'!$C$13,P36='Tabla Impacto'!$D$13),"Moderado",IF(OR(P36='Tabla Impacto'!$C$14,P36='Tabla Impacto'!$D$14),"Mayor",IF(OR(P36='Tabla Impacto'!$C$15,P36='Tabla Impacto'!$D$15),"Catastrófico","")))))</f>
        <v>Mayor</v>
      </c>
      <c r="R36" s="342">
        <f>IF(Q36="","",IF(Q36="Leve",0.2,IF(Q36="Menor",0.4,IF(Q36="Moderado",0.6,IF(Q36="Mayor",0.8,IF(Q36="Catastrófico",1,))))))</f>
        <v>0.8</v>
      </c>
      <c r="S36" s="343"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Alto</v>
      </c>
      <c r="T36" s="206">
        <v>1</v>
      </c>
      <c r="U36" s="216" t="s">
        <v>444</v>
      </c>
      <c r="V36" s="208" t="str">
        <f>IF(OR(W36="Preventivo",W36="Detectivo"),"Probabilidad",IF(W36="Correctivo","Impacto",""))</f>
        <v>Probabilidad</v>
      </c>
      <c r="W36" s="209" t="s">
        <v>14</v>
      </c>
      <c r="X36" s="209" t="s">
        <v>9</v>
      </c>
      <c r="Y36" s="210" t="str">
        <f>IF(AND(W36="Preventivo",X36="Automático"),"50%",IF(AND(W36="Preventivo",X36="Manual"),"40%",IF(AND(W36="Detectivo",X36="Automático"),"40%",IF(AND(W36="Detectivo",X36="Manual"),"30%",IF(AND(W36="Correctivo",X36="Automático"),"35%",IF(AND(W36="Correctivo",X36="Manual"),"25%",""))))))</f>
        <v>40%</v>
      </c>
      <c r="Z36" s="209" t="s">
        <v>19</v>
      </c>
      <c r="AA36" s="209" t="s">
        <v>22</v>
      </c>
      <c r="AB36" s="209" t="s">
        <v>119</v>
      </c>
      <c r="AC36" s="211">
        <f>IFERROR(IF(V36="Probabilidad",(N36-(+N36*Y36)),IF(V36="Impacto",N36,"")),"")</f>
        <v>0.48</v>
      </c>
      <c r="AD36" s="212" t="str">
        <f>IFERROR(IF(AC36="","",IF(AC36&lt;=0.2,"Muy Baja",IF(AC36&lt;=0.4,"Baja",IF(AC36&lt;=0.6,"Media",IF(AC36&lt;=0.8,"Alta","Muy Alta"))))),"")</f>
        <v>Media</v>
      </c>
      <c r="AE36" s="213">
        <f>+AC36</f>
        <v>0.48</v>
      </c>
      <c r="AF36" s="212" t="str">
        <f>IFERROR(IF(AG36="","",IF(AG36&lt;=0.2,"Leve",IF(AG36&lt;=0.4,"Menor",IF(AG36&lt;=0.6,"Moderado",IF(AG36&lt;=0.8,"Mayor","Catastrófico"))))),"")</f>
        <v>Mayor</v>
      </c>
      <c r="AG36" s="213">
        <f>IFERROR(IF(V36="Impacto",(R36-(+R36*Y36)),IF(V36="Probabilidad",R36,"")),"")</f>
        <v>0.8</v>
      </c>
      <c r="AH36" s="214"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Alto</v>
      </c>
      <c r="AI36" s="215" t="s">
        <v>135</v>
      </c>
      <c r="AJ36" s="344" t="s">
        <v>445</v>
      </c>
      <c r="AK36" s="335" t="s">
        <v>298</v>
      </c>
      <c r="AL36" s="336">
        <v>44928</v>
      </c>
      <c r="AM36" s="336">
        <v>45289</v>
      </c>
      <c r="AN36" s="385" t="s">
        <v>417</v>
      </c>
      <c r="AO36" s="335" t="s">
        <v>436</v>
      </c>
      <c r="AP36" s="397" t="s">
        <v>446</v>
      </c>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row>
    <row r="37" spans="1:73" s="169" customFormat="1" ht="133.5" customHeight="1" x14ac:dyDescent="0.2">
      <c r="A37" s="354"/>
      <c r="B37" s="351"/>
      <c r="C37" s="351"/>
      <c r="D37" s="338"/>
      <c r="E37" s="338"/>
      <c r="F37" s="355"/>
      <c r="G37" s="355"/>
      <c r="H37" s="355"/>
      <c r="I37" s="355"/>
      <c r="J37" s="355"/>
      <c r="K37" s="338"/>
      <c r="L37" s="339"/>
      <c r="M37" s="340"/>
      <c r="N37" s="342"/>
      <c r="O37" s="349"/>
      <c r="P37" s="342">
        <f>IF(NOT(ISERROR(MATCH(O37,_xlfn.ANCHORARRAY(I48),0))),N50&amp;"Por favor no seleccionar los criterios de impacto",O37)</f>
        <v>0</v>
      </c>
      <c r="Q37" s="340"/>
      <c r="R37" s="342"/>
      <c r="S37" s="343"/>
      <c r="T37" s="206">
        <v>2</v>
      </c>
      <c r="U37" s="216" t="s">
        <v>443</v>
      </c>
      <c r="V37" s="208" t="str">
        <f>IF(OR(W37="Preventivo",W37="Detectivo"),"Probabilidad",IF(W37="Correctivo","Impacto",""))</f>
        <v>Probabilidad</v>
      </c>
      <c r="W37" s="209" t="s">
        <v>14</v>
      </c>
      <c r="X37" s="209" t="s">
        <v>9</v>
      </c>
      <c r="Y37" s="210" t="str">
        <f t="shared" ref="Y37:Y41" si="29">IF(AND(W37="Preventivo",X37="Automático"),"50%",IF(AND(W37="Preventivo",X37="Manual"),"40%",IF(AND(W37="Detectivo",X37="Automático"),"40%",IF(AND(W37="Detectivo",X37="Manual"),"30%",IF(AND(W37="Correctivo",X37="Automático"),"35%",IF(AND(W37="Correctivo",X37="Manual"),"25%",""))))))</f>
        <v>40%</v>
      </c>
      <c r="Z37" s="209" t="s">
        <v>19</v>
      </c>
      <c r="AA37" s="209" t="s">
        <v>22</v>
      </c>
      <c r="AB37" s="209" t="s">
        <v>119</v>
      </c>
      <c r="AC37" s="211">
        <f>IFERROR(IF(AND(V36="Probabilidad",V37="Probabilidad"),(AE36-(+AE36*Y37)),IF(V37="Probabilidad",(N36-(+N36*Y37)),IF(V37="Impacto",AE36,""))),"")</f>
        <v>0.28799999999999998</v>
      </c>
      <c r="AD37" s="212" t="str">
        <f t="shared" si="1"/>
        <v>Baja</v>
      </c>
      <c r="AE37" s="213">
        <f t="shared" ref="AE37:AE41" si="30">+AC37</f>
        <v>0.28799999999999998</v>
      </c>
      <c r="AF37" s="212" t="str">
        <f t="shared" si="3"/>
        <v>Mayor</v>
      </c>
      <c r="AG37" s="213">
        <f>IFERROR(IF(AND(V36="Impacto",V37="Impacto"),(AG36-(+AG36*Y37)),IF(V37="Impacto",(R36-(+R36*Y37)),IF(V37="Probabilidad",AG36,""))),"")</f>
        <v>0.8</v>
      </c>
      <c r="AH37" s="214" t="str">
        <f t="shared" ref="AH37:AH38" si="31">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Alto</v>
      </c>
      <c r="AI37" s="215" t="s">
        <v>135</v>
      </c>
      <c r="AJ37" s="344"/>
      <c r="AK37" s="335"/>
      <c r="AL37" s="336"/>
      <c r="AM37" s="336"/>
      <c r="AN37" s="385"/>
      <c r="AO37" s="335"/>
      <c r="AP37" s="398"/>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row>
    <row r="38" spans="1:73" s="169" customFormat="1" ht="93.75" customHeight="1" x14ac:dyDescent="0.2">
      <c r="A38" s="354"/>
      <c r="B38" s="351"/>
      <c r="C38" s="351"/>
      <c r="D38" s="338"/>
      <c r="E38" s="338"/>
      <c r="F38" s="355"/>
      <c r="G38" s="355"/>
      <c r="H38" s="355"/>
      <c r="I38" s="355"/>
      <c r="J38" s="355"/>
      <c r="K38" s="338"/>
      <c r="L38" s="339"/>
      <c r="M38" s="340"/>
      <c r="N38" s="342"/>
      <c r="O38" s="349"/>
      <c r="P38" s="342">
        <f>IF(NOT(ISERROR(MATCH(O38,_xlfn.ANCHORARRAY(I49),0))),N51&amp;"Por favor no seleccionar los criterios de impacto",O38)</f>
        <v>0</v>
      </c>
      <c r="Q38" s="340"/>
      <c r="R38" s="342"/>
      <c r="S38" s="343"/>
      <c r="T38" s="206">
        <v>3</v>
      </c>
      <c r="U38" s="216"/>
      <c r="V38" s="208" t="str">
        <f>IF(OR(W38="Preventivo",W38="Detectivo"),"Probabilidad",IF(W38="Correctivo","Impacto",""))</f>
        <v/>
      </c>
      <c r="W38" s="209"/>
      <c r="X38" s="209"/>
      <c r="Y38" s="210" t="str">
        <f t="shared" si="29"/>
        <v/>
      </c>
      <c r="Z38" s="209"/>
      <c r="AA38" s="209"/>
      <c r="AB38" s="209"/>
      <c r="AC38" s="211" t="str">
        <f>IFERROR(IF(AND(V37="Probabilidad",V38="Probabilidad"),(AE37-(+AE37*Y38)),IF(AND(V37="Impacto",V38="Probabilidad"),(AE36-(+AE36*Y38)),IF(V38="Impacto",AE37,""))),"")</f>
        <v/>
      </c>
      <c r="AD38" s="212" t="str">
        <f t="shared" si="1"/>
        <v/>
      </c>
      <c r="AE38" s="213" t="str">
        <f t="shared" si="30"/>
        <v/>
      </c>
      <c r="AF38" s="212" t="str">
        <f t="shared" si="3"/>
        <v/>
      </c>
      <c r="AG38" s="213" t="str">
        <f>IFERROR(IF(AND(V37="Impacto",V38="Impacto"),(AG37-(+AG37*Y38)),IF(AND(V37="Probabilidad",V38="Impacto"),(AG36-(+AG36*Y38)),IF(V38="Probabilidad",AG37,""))),"")</f>
        <v/>
      </c>
      <c r="AH38" s="214" t="str">
        <f t="shared" si="31"/>
        <v/>
      </c>
      <c r="AI38" s="215"/>
      <c r="AJ38" s="344"/>
      <c r="AK38" s="335"/>
      <c r="AL38" s="336"/>
      <c r="AM38" s="336"/>
      <c r="AN38" s="385"/>
      <c r="AO38" s="335"/>
      <c r="AP38" s="398"/>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row>
    <row r="39" spans="1:73" s="169" customFormat="1" ht="66.75" customHeight="1" x14ac:dyDescent="0.2">
      <c r="A39" s="354"/>
      <c r="B39" s="351"/>
      <c r="C39" s="351"/>
      <c r="D39" s="338"/>
      <c r="E39" s="338"/>
      <c r="F39" s="355"/>
      <c r="G39" s="355"/>
      <c r="H39" s="355"/>
      <c r="I39" s="355"/>
      <c r="J39" s="355"/>
      <c r="K39" s="338"/>
      <c r="L39" s="339"/>
      <c r="M39" s="340"/>
      <c r="N39" s="342"/>
      <c r="O39" s="349"/>
      <c r="P39" s="342">
        <f>IF(NOT(ISERROR(MATCH(O39,_xlfn.ANCHORARRAY(I50),0))),N52&amp;"Por favor no seleccionar los criterios de impacto",O39)</f>
        <v>0</v>
      </c>
      <c r="Q39" s="340"/>
      <c r="R39" s="342"/>
      <c r="S39" s="343"/>
      <c r="T39" s="206">
        <v>4</v>
      </c>
      <c r="U39" s="207"/>
      <c r="V39" s="208" t="str">
        <f t="shared" ref="V39:V41" si="32">IF(OR(W39="Preventivo",W39="Detectivo"),"Probabilidad",IF(W39="Correctivo","Impacto",""))</f>
        <v/>
      </c>
      <c r="W39" s="209"/>
      <c r="X39" s="209"/>
      <c r="Y39" s="210" t="str">
        <f t="shared" si="29"/>
        <v/>
      </c>
      <c r="Z39" s="209"/>
      <c r="AA39" s="209"/>
      <c r="AB39" s="209"/>
      <c r="AC39" s="211" t="str">
        <f t="shared" ref="AC39:AC41" si="33">IFERROR(IF(AND(V38="Probabilidad",V39="Probabilidad"),(AE38-(+AE38*Y39)),IF(AND(V38="Impacto",V39="Probabilidad"),(AE37-(+AE37*Y39)),IF(V39="Impacto",AE38,""))),"")</f>
        <v/>
      </c>
      <c r="AD39" s="212" t="str">
        <f t="shared" si="1"/>
        <v/>
      </c>
      <c r="AE39" s="213" t="str">
        <f t="shared" si="30"/>
        <v/>
      </c>
      <c r="AF39" s="212" t="str">
        <f t="shared" si="3"/>
        <v/>
      </c>
      <c r="AG39" s="213" t="str">
        <f t="shared" ref="AG39:AG41" si="34">IFERROR(IF(AND(V38="Impacto",V39="Impacto"),(AG38-(+AG38*Y39)),IF(AND(V38="Probabilidad",V39="Impacto"),(AG37-(+AG37*Y39)),IF(V39="Probabilidad",AG38,""))),"")</f>
        <v/>
      </c>
      <c r="AH39" s="214"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215"/>
      <c r="AJ39" s="344"/>
      <c r="AK39" s="335"/>
      <c r="AL39" s="336"/>
      <c r="AM39" s="336"/>
      <c r="AN39" s="385"/>
      <c r="AO39" s="335"/>
      <c r="AP39" s="398"/>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row>
    <row r="40" spans="1:73" s="169" customFormat="1" ht="66.75" customHeight="1" x14ac:dyDescent="0.2">
      <c r="A40" s="354"/>
      <c r="B40" s="351"/>
      <c r="C40" s="351"/>
      <c r="D40" s="338"/>
      <c r="E40" s="338"/>
      <c r="F40" s="355"/>
      <c r="G40" s="355"/>
      <c r="H40" s="355"/>
      <c r="I40" s="355"/>
      <c r="J40" s="355"/>
      <c r="K40" s="338"/>
      <c r="L40" s="339"/>
      <c r="M40" s="340"/>
      <c r="N40" s="342"/>
      <c r="O40" s="349"/>
      <c r="P40" s="342">
        <f>IF(NOT(ISERROR(MATCH(O40,_xlfn.ANCHORARRAY(I51),0))),N53&amp;"Por favor no seleccionar los criterios de impacto",O40)</f>
        <v>0</v>
      </c>
      <c r="Q40" s="340"/>
      <c r="R40" s="342"/>
      <c r="S40" s="343"/>
      <c r="T40" s="206">
        <v>5</v>
      </c>
      <c r="U40" s="207"/>
      <c r="V40" s="208" t="str">
        <f t="shared" si="32"/>
        <v/>
      </c>
      <c r="W40" s="209"/>
      <c r="X40" s="209"/>
      <c r="Y40" s="210" t="str">
        <f t="shared" si="29"/>
        <v/>
      </c>
      <c r="Z40" s="209"/>
      <c r="AA40" s="209"/>
      <c r="AB40" s="209"/>
      <c r="AC40" s="211" t="str">
        <f t="shared" si="33"/>
        <v/>
      </c>
      <c r="AD40" s="212" t="str">
        <f t="shared" si="1"/>
        <v/>
      </c>
      <c r="AE40" s="213" t="str">
        <f t="shared" si="30"/>
        <v/>
      </c>
      <c r="AF40" s="212" t="str">
        <f t="shared" si="3"/>
        <v/>
      </c>
      <c r="AG40" s="213" t="str">
        <f t="shared" si="34"/>
        <v/>
      </c>
      <c r="AH40" s="214" t="str">
        <f t="shared" ref="AH40:AH41" si="35">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215"/>
      <c r="AJ40" s="344"/>
      <c r="AK40" s="335"/>
      <c r="AL40" s="336"/>
      <c r="AM40" s="336"/>
      <c r="AN40" s="385"/>
      <c r="AO40" s="335"/>
      <c r="AP40" s="398"/>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row>
    <row r="41" spans="1:73" s="169" customFormat="1" ht="66.75" customHeight="1" x14ac:dyDescent="0.2">
      <c r="A41" s="354"/>
      <c r="B41" s="351"/>
      <c r="C41" s="351"/>
      <c r="D41" s="338"/>
      <c r="E41" s="338"/>
      <c r="F41" s="355"/>
      <c r="G41" s="355"/>
      <c r="H41" s="355"/>
      <c r="I41" s="355"/>
      <c r="J41" s="355"/>
      <c r="K41" s="338"/>
      <c r="L41" s="339"/>
      <c r="M41" s="340"/>
      <c r="N41" s="342"/>
      <c r="O41" s="349"/>
      <c r="P41" s="342">
        <f>IF(NOT(ISERROR(MATCH(O41,_xlfn.ANCHORARRAY(I52),0))),N54&amp;"Por favor no seleccionar los criterios de impacto",O41)</f>
        <v>0</v>
      </c>
      <c r="Q41" s="340"/>
      <c r="R41" s="342"/>
      <c r="S41" s="343"/>
      <c r="T41" s="206">
        <v>6</v>
      </c>
      <c r="U41" s="207"/>
      <c r="V41" s="208" t="str">
        <f t="shared" si="32"/>
        <v/>
      </c>
      <c r="W41" s="209"/>
      <c r="X41" s="209"/>
      <c r="Y41" s="210" t="str">
        <f t="shared" si="29"/>
        <v/>
      </c>
      <c r="Z41" s="209"/>
      <c r="AA41" s="209"/>
      <c r="AB41" s="209"/>
      <c r="AC41" s="211" t="str">
        <f t="shared" si="33"/>
        <v/>
      </c>
      <c r="AD41" s="212" t="str">
        <f t="shared" si="1"/>
        <v/>
      </c>
      <c r="AE41" s="213" t="str">
        <f t="shared" si="30"/>
        <v/>
      </c>
      <c r="AF41" s="212" t="str">
        <f t="shared" si="3"/>
        <v/>
      </c>
      <c r="AG41" s="213" t="str">
        <f t="shared" si="34"/>
        <v/>
      </c>
      <c r="AH41" s="214" t="str">
        <f t="shared" si="35"/>
        <v/>
      </c>
      <c r="AI41" s="215"/>
      <c r="AJ41" s="344"/>
      <c r="AK41" s="335"/>
      <c r="AL41" s="336"/>
      <c r="AM41" s="336"/>
      <c r="AN41" s="385"/>
      <c r="AO41" s="335"/>
      <c r="AP41" s="398"/>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row>
    <row r="42" spans="1:73" s="169" customFormat="1" ht="131.25" customHeight="1" x14ac:dyDescent="0.2">
      <c r="A42" s="354" t="s">
        <v>362</v>
      </c>
      <c r="B42" s="351" t="s">
        <v>233</v>
      </c>
      <c r="C42" s="351" t="s">
        <v>377</v>
      </c>
      <c r="D42" s="338" t="s">
        <v>131</v>
      </c>
      <c r="E42" s="338" t="s">
        <v>397</v>
      </c>
      <c r="F42" s="338" t="s">
        <v>398</v>
      </c>
      <c r="G42" s="338" t="s">
        <v>463</v>
      </c>
      <c r="H42" s="338" t="s">
        <v>464</v>
      </c>
      <c r="I42" s="355" t="s">
        <v>399</v>
      </c>
      <c r="J42" s="353" t="s">
        <v>462</v>
      </c>
      <c r="K42" s="338" t="s">
        <v>356</v>
      </c>
      <c r="L42" s="339">
        <v>1000</v>
      </c>
      <c r="M42" s="340" t="str">
        <f>IF(L42&lt;=0,"",IF(L42&lt;=2,"Muy Baja",IF(L42&lt;=24,"Baja",IF(L42&lt;=500,"Media",IF(L42&lt;=5000,"Alta","Muy Alta")))))</f>
        <v>Alta</v>
      </c>
      <c r="N42" s="342">
        <f>IF(M42="","",IF(M42="Muy Baja",0.2,IF(M42="Baja",0.4,IF(M42="Media",0.6,IF(M42="Alta",0.8,IF(M42="Muy Alta",1,))))))</f>
        <v>0.8</v>
      </c>
      <c r="O42" s="349" t="s">
        <v>154</v>
      </c>
      <c r="P42" s="342" t="str">
        <f>IF(NOT(ISERROR(MATCH(O42,'Tabla Impacto'!$B$221:$B$223,0))),'Tabla Impacto'!$F$223&amp;"Por favor no seleccionar los criterios de impacto(Afectación Económica o presupuestal y Pérdida Reputacional)",O42)</f>
        <v xml:space="preserve">     El riesgo afecta la imagen de la entidad a nivel nacional, con efecto publicitarios sostenible a nivel país</v>
      </c>
      <c r="Q42" s="340" t="str">
        <f>IF(OR(P42='Tabla Impacto'!$C$11,P42='Tabla Impacto'!$D$11),"Leve",IF(OR(P42='Tabla Impacto'!$C$12,P42='Tabla Impacto'!$D$12),"Menor",IF(OR(P42='Tabla Impacto'!$C$13,P42='Tabla Impacto'!$D$13),"Moderado",IF(OR(P42='Tabla Impacto'!$C$14,P42='Tabla Impacto'!$D$14),"Mayor",IF(OR(P42='Tabla Impacto'!$C$15,P42='Tabla Impacto'!$D$15),"Catastrófico","")))))</f>
        <v>Catastrófico</v>
      </c>
      <c r="R42" s="342">
        <f>IF(Q42="","",IF(Q42="Leve",0.2,IF(Q42="Menor",0.4,IF(Q42="Moderado",0.6,IF(Q42="Mayor",0.8,IF(Q42="Catastrófico",1,))))))</f>
        <v>1</v>
      </c>
      <c r="S42" s="343"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Extremo</v>
      </c>
      <c r="T42" s="207">
        <v>1</v>
      </c>
      <c r="U42" s="207" t="s">
        <v>465</v>
      </c>
      <c r="V42" s="208" t="str">
        <f>IF(OR(W42="Preventivo",W42="Detectivo"),"Probabilidad",IF(W42="Correctivo","Impacto",""))</f>
        <v>Probabilidad</v>
      </c>
      <c r="W42" s="209" t="s">
        <v>14</v>
      </c>
      <c r="X42" s="209" t="s">
        <v>9</v>
      </c>
      <c r="Y42" s="210" t="str">
        <f>IF(AND(W42="Preventivo",X42="Automático"),"50%",IF(AND(W42="Preventivo",X42="Manual"),"40%",IF(AND(W42="Detectivo",X42="Automático"),"40%",IF(AND(W42="Detectivo",X42="Manual"),"30%",IF(AND(W42="Correctivo",X42="Automático"),"35%",IF(AND(W42="Correctivo",X42="Manual"),"25%",""))))))</f>
        <v>40%</v>
      </c>
      <c r="Z42" s="209" t="s">
        <v>19</v>
      </c>
      <c r="AA42" s="209" t="s">
        <v>22</v>
      </c>
      <c r="AB42" s="209" t="s">
        <v>119</v>
      </c>
      <c r="AC42" s="211">
        <f>IFERROR(IF(V42="Probabilidad",(N42-(+N42*Y42)),IF(V42="Impacto",N42,"")),"")</f>
        <v>0.48</v>
      </c>
      <c r="AD42" s="212" t="str">
        <f>IFERROR(IF(AC42="","",IF(AC42&lt;=0.2,"Muy Baja",IF(AC42&lt;=0.4,"Baja",IF(AC42&lt;=0.6,"Media",IF(AC42&lt;=0.8,"Alta","Muy Alta"))))),"")</f>
        <v>Media</v>
      </c>
      <c r="AE42" s="213">
        <f>+AC42</f>
        <v>0.48</v>
      </c>
      <c r="AF42" s="212" t="str">
        <f>IFERROR(IF(AG42="","",IF(AG42&lt;=0.2,"Leve",IF(AG42&lt;=0.4,"Menor",IF(AG42&lt;=0.6,"Moderado",IF(AG42&lt;=0.8,"Mayor","Catastrófico"))))),"")</f>
        <v>Catastrófico</v>
      </c>
      <c r="AG42" s="213">
        <f>IFERROR(IF(V42="Impacto",(R42-(+R42*Y42)),IF(V42="Probabilidad",R42,"")),"")</f>
        <v>1</v>
      </c>
      <c r="AH42" s="214"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Extremo</v>
      </c>
      <c r="AI42" s="215" t="s">
        <v>135</v>
      </c>
      <c r="AJ42" s="400" t="s">
        <v>421</v>
      </c>
      <c r="AK42" s="335" t="s">
        <v>302</v>
      </c>
      <c r="AL42" s="336">
        <v>44928</v>
      </c>
      <c r="AM42" s="336">
        <v>45289</v>
      </c>
      <c r="AN42" s="385" t="s">
        <v>417</v>
      </c>
      <c r="AO42" s="335" t="s">
        <v>41</v>
      </c>
      <c r="AP42" s="400" t="s">
        <v>420</v>
      </c>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row>
    <row r="43" spans="1:73" s="169" customFormat="1" ht="101.25" customHeight="1" x14ac:dyDescent="0.2">
      <c r="A43" s="354"/>
      <c r="B43" s="351"/>
      <c r="C43" s="351"/>
      <c r="D43" s="338"/>
      <c r="E43" s="338"/>
      <c r="F43" s="338"/>
      <c r="G43" s="338"/>
      <c r="H43" s="338"/>
      <c r="I43" s="355"/>
      <c r="J43" s="353"/>
      <c r="K43" s="338"/>
      <c r="L43" s="339"/>
      <c r="M43" s="340"/>
      <c r="N43" s="342"/>
      <c r="O43" s="349"/>
      <c r="P43" s="342">
        <f>IF(NOT(ISERROR(MATCH(O43,_xlfn.ANCHORARRAY(I54),0))),N56&amp;"Por favor no seleccionar los criterios de impacto",O43)</f>
        <v>0</v>
      </c>
      <c r="Q43" s="340"/>
      <c r="R43" s="342"/>
      <c r="S43" s="343"/>
      <c r="T43" s="206">
        <v>2</v>
      </c>
      <c r="U43" s="207" t="s">
        <v>429</v>
      </c>
      <c r="V43" s="208" t="str">
        <f>IF(OR(W43="Preventivo",W43="Detectivo"),"Probabilidad",IF(W43="Correctivo","Impacto",""))</f>
        <v>Probabilidad</v>
      </c>
      <c r="W43" s="209" t="s">
        <v>15</v>
      </c>
      <c r="X43" s="209" t="s">
        <v>9</v>
      </c>
      <c r="Y43" s="210" t="str">
        <f t="shared" ref="Y43:Y47" si="36">IF(AND(W43="Preventivo",X43="Automático"),"50%",IF(AND(W43="Preventivo",X43="Manual"),"40%",IF(AND(W43="Detectivo",X43="Automático"),"40%",IF(AND(W43="Detectivo",X43="Manual"),"30%",IF(AND(W43="Correctivo",X43="Automático"),"35%",IF(AND(W43="Correctivo",X43="Manual"),"25%",""))))))</f>
        <v>30%</v>
      </c>
      <c r="Z43" s="209" t="s">
        <v>19</v>
      </c>
      <c r="AA43" s="209" t="s">
        <v>22</v>
      </c>
      <c r="AB43" s="209" t="s">
        <v>119</v>
      </c>
      <c r="AC43" s="211">
        <f>IFERROR(IF(AND(V42="Probabilidad",V43="Probabilidad"),(AE42-(+AE42*Y43)),IF(V43="Probabilidad",(N42-(+N42*Y43)),IF(V43="Impacto",AE42,""))),"")</f>
        <v>0.33599999999999997</v>
      </c>
      <c r="AD43" s="212" t="str">
        <f t="shared" si="1"/>
        <v>Baja</v>
      </c>
      <c r="AE43" s="213">
        <f t="shared" ref="AE43:AE47" si="37">+AC43</f>
        <v>0.33599999999999997</v>
      </c>
      <c r="AF43" s="212" t="str">
        <f t="shared" si="3"/>
        <v>Catastrófico</v>
      </c>
      <c r="AG43" s="213">
        <f>IFERROR(IF(AND(V42="Impacto",V43="Impacto"),(AG42-(+AG42*Y43)),IF(V43="Impacto",(R42-(+R42*Y43)),IF(V43="Probabilidad",AG42,""))),"")</f>
        <v>1</v>
      </c>
      <c r="AH43" s="214" t="str">
        <f t="shared" ref="AH43:AH44" si="38">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Extremo</v>
      </c>
      <c r="AI43" s="215" t="s">
        <v>135</v>
      </c>
      <c r="AJ43" s="401"/>
      <c r="AK43" s="335"/>
      <c r="AL43" s="336"/>
      <c r="AM43" s="336"/>
      <c r="AN43" s="385"/>
      <c r="AO43" s="335"/>
      <c r="AP43" s="401"/>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row>
    <row r="44" spans="1:73" s="169" customFormat="1" ht="108.75" customHeight="1" x14ac:dyDescent="0.2">
      <c r="A44" s="354"/>
      <c r="B44" s="351"/>
      <c r="C44" s="351"/>
      <c r="D44" s="338"/>
      <c r="E44" s="338"/>
      <c r="F44" s="338"/>
      <c r="G44" s="338"/>
      <c r="H44" s="338"/>
      <c r="I44" s="355"/>
      <c r="J44" s="353"/>
      <c r="K44" s="338"/>
      <c r="L44" s="339"/>
      <c r="M44" s="340"/>
      <c r="N44" s="342"/>
      <c r="O44" s="349"/>
      <c r="P44" s="342">
        <f>IF(NOT(ISERROR(MATCH(O44,_xlfn.ANCHORARRAY(I55),0))),N57&amp;"Por favor no seleccionar los criterios de impacto",O44)</f>
        <v>0</v>
      </c>
      <c r="Q44" s="340"/>
      <c r="R44" s="342"/>
      <c r="S44" s="343"/>
      <c r="T44" s="206">
        <v>3</v>
      </c>
      <c r="U44" s="220" t="s">
        <v>428</v>
      </c>
      <c r="V44" s="208" t="str">
        <f>IF(OR(W44="Preventivo",W44="Detectivo"),"Probabilidad",IF(W44="Correctivo","Impacto",""))</f>
        <v>Impacto</v>
      </c>
      <c r="W44" s="209" t="s">
        <v>16</v>
      </c>
      <c r="X44" s="209" t="s">
        <v>9</v>
      </c>
      <c r="Y44" s="210" t="str">
        <f t="shared" si="36"/>
        <v>25%</v>
      </c>
      <c r="Z44" s="209"/>
      <c r="AA44" s="209" t="s">
        <v>22</v>
      </c>
      <c r="AB44" s="209" t="s">
        <v>119</v>
      </c>
      <c r="AC44" s="211">
        <f>IFERROR(IF(AND(V43="Probabilidad",V44="Probabilidad"),(AE43-(+AE43*Y44)),IF(AND(V43="Impacto",V44="Probabilidad"),(AE42-(+AE42*Y44)),IF(V44="Impacto",AE43,""))),"")</f>
        <v>0.33599999999999997</v>
      </c>
      <c r="AD44" s="212" t="str">
        <f t="shared" si="1"/>
        <v>Baja</v>
      </c>
      <c r="AE44" s="213">
        <f t="shared" si="37"/>
        <v>0.33599999999999997</v>
      </c>
      <c r="AF44" s="212" t="str">
        <f t="shared" si="3"/>
        <v>Mayor</v>
      </c>
      <c r="AG44" s="213">
        <f>IFERROR(IF(AND(V43="Impacto",V44="Impacto"),(AG43-(+AG43*Y44)),IF(AND(V43="Probabilidad",V44="Impacto"),(AG42-(+AG42*Y44)),IF(V44="Probabilidad",AG43,""))),"")</f>
        <v>0.75</v>
      </c>
      <c r="AH44" s="214" t="str">
        <f t="shared" si="38"/>
        <v>Alto</v>
      </c>
      <c r="AI44" s="215" t="s">
        <v>135</v>
      </c>
      <c r="AJ44" s="401"/>
      <c r="AK44" s="335"/>
      <c r="AL44" s="336"/>
      <c r="AM44" s="336"/>
      <c r="AN44" s="385"/>
      <c r="AO44" s="335"/>
      <c r="AP44" s="401"/>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row>
    <row r="45" spans="1:73" s="169" customFormat="1" ht="66.75" customHeight="1" x14ac:dyDescent="0.2">
      <c r="A45" s="354"/>
      <c r="B45" s="351"/>
      <c r="C45" s="351"/>
      <c r="D45" s="338"/>
      <c r="E45" s="338"/>
      <c r="F45" s="338"/>
      <c r="G45" s="338"/>
      <c r="H45" s="338"/>
      <c r="I45" s="355"/>
      <c r="J45" s="353"/>
      <c r="K45" s="338"/>
      <c r="L45" s="339"/>
      <c r="M45" s="340"/>
      <c r="N45" s="342"/>
      <c r="O45" s="349"/>
      <c r="P45" s="342">
        <f>IF(NOT(ISERROR(MATCH(O45,_xlfn.ANCHORARRAY(I56),0))),N58&amp;"Por favor no seleccionar los criterios de impacto",O45)</f>
        <v>0</v>
      </c>
      <c r="Q45" s="340"/>
      <c r="R45" s="342"/>
      <c r="S45" s="343"/>
      <c r="T45" s="206">
        <v>4</v>
      </c>
      <c r="U45" s="207"/>
      <c r="V45" s="208" t="str">
        <f t="shared" ref="V45:V47" si="39">IF(OR(W45="Preventivo",W45="Detectivo"),"Probabilidad",IF(W45="Correctivo","Impacto",""))</f>
        <v/>
      </c>
      <c r="W45" s="209"/>
      <c r="X45" s="209"/>
      <c r="Y45" s="210" t="str">
        <f t="shared" si="36"/>
        <v/>
      </c>
      <c r="Z45" s="209"/>
      <c r="AA45" s="209"/>
      <c r="AB45" s="209"/>
      <c r="AC45" s="211" t="str">
        <f t="shared" ref="AC45:AC47" si="40">IFERROR(IF(AND(V44="Probabilidad",V45="Probabilidad"),(AE44-(+AE44*Y45)),IF(AND(V44="Impacto",V45="Probabilidad"),(AE43-(+AE43*Y45)),IF(V45="Impacto",AE44,""))),"")</f>
        <v/>
      </c>
      <c r="AD45" s="212" t="str">
        <f t="shared" si="1"/>
        <v/>
      </c>
      <c r="AE45" s="213" t="str">
        <f t="shared" si="37"/>
        <v/>
      </c>
      <c r="AF45" s="212" t="str">
        <f t="shared" si="3"/>
        <v/>
      </c>
      <c r="AG45" s="213" t="str">
        <f t="shared" ref="AG45:AG47" si="41">IFERROR(IF(AND(V44="Impacto",V45="Impacto"),(AG44-(+AG44*Y45)),IF(AND(V44="Probabilidad",V45="Impacto"),(AG43-(+AG43*Y45)),IF(V45="Probabilidad",AG44,""))),"")</f>
        <v/>
      </c>
      <c r="AH45" s="214"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
      </c>
      <c r="AI45" s="215"/>
      <c r="AJ45" s="401"/>
      <c r="AK45" s="335"/>
      <c r="AL45" s="336"/>
      <c r="AM45" s="336"/>
      <c r="AN45" s="385"/>
      <c r="AO45" s="335"/>
      <c r="AP45" s="401"/>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row>
    <row r="46" spans="1:73" s="169" customFormat="1" ht="66.75" customHeight="1" x14ac:dyDescent="0.2">
      <c r="A46" s="354"/>
      <c r="B46" s="351"/>
      <c r="C46" s="351"/>
      <c r="D46" s="338"/>
      <c r="E46" s="338"/>
      <c r="F46" s="338"/>
      <c r="G46" s="338"/>
      <c r="H46" s="338"/>
      <c r="I46" s="355"/>
      <c r="J46" s="353"/>
      <c r="K46" s="338"/>
      <c r="L46" s="339"/>
      <c r="M46" s="340"/>
      <c r="N46" s="342"/>
      <c r="O46" s="349"/>
      <c r="P46" s="342">
        <f>IF(NOT(ISERROR(MATCH(O46,_xlfn.ANCHORARRAY(I57),0))),N59&amp;"Por favor no seleccionar los criterios de impacto",O46)</f>
        <v>0</v>
      </c>
      <c r="Q46" s="340"/>
      <c r="R46" s="342"/>
      <c r="S46" s="343"/>
      <c r="T46" s="206">
        <v>5</v>
      </c>
      <c r="U46" s="207"/>
      <c r="V46" s="208" t="str">
        <f t="shared" si="39"/>
        <v/>
      </c>
      <c r="W46" s="209"/>
      <c r="X46" s="209"/>
      <c r="Y46" s="210" t="str">
        <f t="shared" si="36"/>
        <v/>
      </c>
      <c r="Z46" s="209"/>
      <c r="AA46" s="209"/>
      <c r="AB46" s="209"/>
      <c r="AC46" s="211" t="str">
        <f t="shared" si="40"/>
        <v/>
      </c>
      <c r="AD46" s="212" t="str">
        <f t="shared" si="1"/>
        <v/>
      </c>
      <c r="AE46" s="213" t="str">
        <f t="shared" si="37"/>
        <v/>
      </c>
      <c r="AF46" s="212" t="str">
        <f t="shared" si="3"/>
        <v/>
      </c>
      <c r="AG46" s="213" t="str">
        <f t="shared" si="41"/>
        <v/>
      </c>
      <c r="AH46" s="214" t="str">
        <f t="shared" ref="AH46" si="42">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215"/>
      <c r="AJ46" s="401"/>
      <c r="AK46" s="335"/>
      <c r="AL46" s="336"/>
      <c r="AM46" s="336"/>
      <c r="AN46" s="385"/>
      <c r="AO46" s="335"/>
      <c r="AP46" s="401"/>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row>
    <row r="47" spans="1:73" s="169" customFormat="1" ht="66.75" customHeight="1" x14ac:dyDescent="0.2">
      <c r="A47" s="354"/>
      <c r="B47" s="351"/>
      <c r="C47" s="351"/>
      <c r="D47" s="338"/>
      <c r="E47" s="338"/>
      <c r="F47" s="338"/>
      <c r="G47" s="338"/>
      <c r="H47" s="338"/>
      <c r="I47" s="355"/>
      <c r="J47" s="353"/>
      <c r="K47" s="338"/>
      <c r="L47" s="339"/>
      <c r="M47" s="340"/>
      <c r="N47" s="342"/>
      <c r="O47" s="349"/>
      <c r="P47" s="342">
        <f>IF(NOT(ISERROR(MATCH(O47,_xlfn.ANCHORARRAY(I58),0))),N60&amp;"Por favor no seleccionar los criterios de impacto",O47)</f>
        <v>0</v>
      </c>
      <c r="Q47" s="340"/>
      <c r="R47" s="342"/>
      <c r="S47" s="343"/>
      <c r="T47" s="206">
        <v>6</v>
      </c>
      <c r="U47" s="207"/>
      <c r="V47" s="208" t="str">
        <f t="shared" si="39"/>
        <v/>
      </c>
      <c r="W47" s="209"/>
      <c r="X47" s="209"/>
      <c r="Y47" s="210" t="str">
        <f t="shared" si="36"/>
        <v/>
      </c>
      <c r="Z47" s="209"/>
      <c r="AA47" s="209"/>
      <c r="AB47" s="209"/>
      <c r="AC47" s="211" t="str">
        <f t="shared" si="40"/>
        <v/>
      </c>
      <c r="AD47" s="212" t="str">
        <f t="shared" si="1"/>
        <v/>
      </c>
      <c r="AE47" s="213" t="str">
        <f t="shared" si="37"/>
        <v/>
      </c>
      <c r="AF47" s="212" t="str">
        <f>IFERROR(IF(AG47="","",IF(AG47&lt;=0.2,"Leve",IF(AG47&lt;=0.4,"Menor",IF(AG47&lt;=0.6,"Moderado",IF(AG47&lt;=0.8,"Mayor","Catastrófico"))))),"")</f>
        <v/>
      </c>
      <c r="AG47" s="213" t="str">
        <f t="shared" si="41"/>
        <v/>
      </c>
      <c r="AH47" s="214"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215"/>
      <c r="AJ47" s="401"/>
      <c r="AK47" s="335"/>
      <c r="AL47" s="336"/>
      <c r="AM47" s="336"/>
      <c r="AN47" s="385"/>
      <c r="AO47" s="335"/>
      <c r="AP47" s="401"/>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row>
    <row r="48" spans="1:73" s="169" customFormat="1" ht="94.5" x14ac:dyDescent="0.2">
      <c r="A48" s="354" t="s">
        <v>363</v>
      </c>
      <c r="B48" s="351" t="s">
        <v>217</v>
      </c>
      <c r="C48" s="351" t="s">
        <v>218</v>
      </c>
      <c r="D48" s="338" t="s">
        <v>131</v>
      </c>
      <c r="E48" s="338" t="s">
        <v>405</v>
      </c>
      <c r="F48" s="338" t="s">
        <v>404</v>
      </c>
      <c r="G48" s="338" t="s">
        <v>409</v>
      </c>
      <c r="H48" s="338" t="s">
        <v>408</v>
      </c>
      <c r="I48" s="355" t="s">
        <v>407</v>
      </c>
      <c r="J48" s="353" t="s">
        <v>406</v>
      </c>
      <c r="K48" s="338" t="s">
        <v>356</v>
      </c>
      <c r="L48" s="353">
        <v>1000</v>
      </c>
      <c r="M48" s="340" t="str">
        <f>IF(L48&lt;=0,"",IF(L48&lt;=2,"Muy Baja",IF(L48&lt;=24,"Baja",IF(L48&lt;=500,"Media",IF(L48&lt;=5000,"Alta","Muy Alta")))))</f>
        <v>Alta</v>
      </c>
      <c r="N48" s="342">
        <f>IF(M48="","",IF(M48="Muy Baja",0.2,IF(M48="Baja",0.4,IF(M48="Media",0.6,IF(M48="Alta",0.8,IF(M48="Muy Alta",1,))))))</f>
        <v>0.8</v>
      </c>
      <c r="O48" s="349" t="s">
        <v>149</v>
      </c>
      <c r="P48" s="342" t="str">
        <f>IF(NOT(ISERROR(MATCH(O48,'Tabla Impacto'!$B$221:$B$223,0))),'Tabla Impacto'!$F$223&amp;"Por favor no seleccionar los criterios de impacto(Afectación Económica o presupuestal y Pérdida Reputacional)",O48)</f>
        <v xml:space="preserve">     Mayor a 500 SMLMV </v>
      </c>
      <c r="Q48" s="340" t="str">
        <f>IF(OR(P48='Tabla Impacto'!$C$11,P48='Tabla Impacto'!$D$11),"Leve",IF(OR(P48='Tabla Impacto'!$C$12,P48='Tabla Impacto'!$D$12),"Menor",IF(OR(P48='Tabla Impacto'!$C$13,P48='Tabla Impacto'!$D$13),"Moderado",IF(OR(P48='Tabla Impacto'!$C$14,P48='Tabla Impacto'!$D$14),"Mayor",IF(OR(P48='Tabla Impacto'!$C$15,P48='Tabla Impacto'!$D$15),"Catastrófico","")))))</f>
        <v>Catastrófico</v>
      </c>
      <c r="R48" s="342">
        <f>IF(Q48="","",IF(Q48="Leve",0.2,IF(Q48="Menor",0.4,IF(Q48="Moderado",0.6,IF(Q48="Mayor",0.8,IF(Q48="Catastrófico",1,))))))</f>
        <v>1</v>
      </c>
      <c r="S48" s="343"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Extremo</v>
      </c>
      <c r="T48" s="206">
        <v>1</v>
      </c>
      <c r="U48" s="207" t="s">
        <v>456</v>
      </c>
      <c r="V48" s="208" t="str">
        <f>IF(OR(W48="Preventivo",W48="Detectivo"),"Probabilidad",IF(W48="Correctivo","Impacto",""))</f>
        <v>Probabilidad</v>
      </c>
      <c r="W48" s="209" t="s">
        <v>14</v>
      </c>
      <c r="X48" s="209" t="s">
        <v>9</v>
      </c>
      <c r="Y48" s="210" t="str">
        <f>IF(AND(W48="Preventivo",X48="Automático"),"50%",IF(AND(W48="Preventivo",X48="Manual"),"40%",IF(AND(W48="Detectivo",X48="Automático"),"40%",IF(AND(W48="Detectivo",X48="Manual"),"30%",IF(AND(W48="Correctivo",X48="Automático"),"35%",IF(AND(W48="Correctivo",X48="Manual"),"25%",""))))))</f>
        <v>40%</v>
      </c>
      <c r="Z48" s="209" t="s">
        <v>19</v>
      </c>
      <c r="AA48" s="209" t="s">
        <v>22</v>
      </c>
      <c r="AB48" s="209" t="s">
        <v>119</v>
      </c>
      <c r="AC48" s="211">
        <f>IFERROR(IF(V48="Probabilidad",(N48-(+N48*Y48)),IF(V48="Impacto",N48,"")),"")</f>
        <v>0.48</v>
      </c>
      <c r="AD48" s="212" t="str">
        <f>IFERROR(IF(AC48="","",IF(AC48&lt;=0.2,"Muy Baja",IF(AC48&lt;=0.4,"Baja",IF(AC48&lt;=0.6,"Media",IF(AC48&lt;=0.8,"Alta","Muy Alta"))))),"")</f>
        <v>Media</v>
      </c>
      <c r="AE48" s="213">
        <f>+AC48</f>
        <v>0.48</v>
      </c>
      <c r="AF48" s="212" t="str">
        <f>IFERROR(IF(AG48="","",IF(AG48&lt;=0.2,"Leve",IF(AG48&lt;=0.4,"Menor",IF(AG48&lt;=0.6,"Moderado",IF(AG48&lt;=0.8,"Mayor","Catastrófico"))))),"")</f>
        <v>Catastrófico</v>
      </c>
      <c r="AG48" s="213">
        <f>IFERROR(IF(V48="Impacto",(R48-(+R48*Y48)),IF(V48="Probabilidad",R48,"")),"")</f>
        <v>1</v>
      </c>
      <c r="AH48" s="214"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Extremo</v>
      </c>
      <c r="AI48" s="215" t="s">
        <v>135</v>
      </c>
      <c r="AJ48" s="344" t="s">
        <v>459</v>
      </c>
      <c r="AK48" s="335" t="s">
        <v>284</v>
      </c>
      <c r="AL48" s="336">
        <v>44928</v>
      </c>
      <c r="AM48" s="336">
        <v>45289</v>
      </c>
      <c r="AN48" s="385" t="s">
        <v>417</v>
      </c>
      <c r="AO48" s="335" t="s">
        <v>41</v>
      </c>
      <c r="AP48" s="397" t="s">
        <v>466</v>
      </c>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row>
    <row r="49" spans="1:73" s="169" customFormat="1" ht="94.5" x14ac:dyDescent="0.2">
      <c r="A49" s="354"/>
      <c r="B49" s="351"/>
      <c r="C49" s="351"/>
      <c r="D49" s="338"/>
      <c r="E49" s="338"/>
      <c r="F49" s="338"/>
      <c r="G49" s="338"/>
      <c r="H49" s="338"/>
      <c r="I49" s="355"/>
      <c r="J49" s="353"/>
      <c r="K49" s="338"/>
      <c r="L49" s="353"/>
      <c r="M49" s="340"/>
      <c r="N49" s="342"/>
      <c r="O49" s="349"/>
      <c r="P49" s="342">
        <f>IF(NOT(ISERROR(MATCH(O49,_xlfn.ANCHORARRAY(I60),0))),N62&amp;"Por favor no seleccionar los criterios de impacto",O49)</f>
        <v>0</v>
      </c>
      <c r="Q49" s="340"/>
      <c r="R49" s="342"/>
      <c r="S49" s="343"/>
      <c r="T49" s="206">
        <v>2</v>
      </c>
      <c r="U49" s="207" t="s">
        <v>457</v>
      </c>
      <c r="V49" s="208" t="str">
        <f>IF(OR(W49="Preventivo",W49="Detectivo"),"Probabilidad",IF(W49="Correctivo","Impacto",""))</f>
        <v>Probabilidad</v>
      </c>
      <c r="W49" s="209" t="s">
        <v>14</v>
      </c>
      <c r="X49" s="209" t="s">
        <v>9</v>
      </c>
      <c r="Y49" s="210" t="str">
        <f t="shared" ref="Y49:Y53" si="43">IF(AND(W49="Preventivo",X49="Automático"),"50%",IF(AND(W49="Preventivo",X49="Manual"),"40%",IF(AND(W49="Detectivo",X49="Automático"),"40%",IF(AND(W49="Detectivo",X49="Manual"),"30%",IF(AND(W49="Correctivo",X49="Automático"),"35%",IF(AND(W49="Correctivo",X49="Manual"),"25%",""))))))</f>
        <v>40%</v>
      </c>
      <c r="Z49" s="209" t="s">
        <v>19</v>
      </c>
      <c r="AA49" s="209" t="s">
        <v>22</v>
      </c>
      <c r="AB49" s="209" t="s">
        <v>119</v>
      </c>
      <c r="AC49" s="211">
        <f>IFERROR(IF(AND(V48="Probabilidad",V49="Probabilidad"),(AE48-(+AE48*Y49)),IF(V49="Probabilidad",(N48-(+N48*Y49)),IF(V49="Impacto",AE48,""))),"")</f>
        <v>0.28799999999999998</v>
      </c>
      <c r="AD49" s="212" t="str">
        <f t="shared" si="1"/>
        <v>Baja</v>
      </c>
      <c r="AE49" s="213">
        <f t="shared" ref="AE49:AE53" si="44">+AC49</f>
        <v>0.28799999999999998</v>
      </c>
      <c r="AF49" s="212" t="str">
        <f t="shared" si="3"/>
        <v>Catastrófico</v>
      </c>
      <c r="AG49" s="213">
        <f>IFERROR(IF(AND(V48="Impacto",V49="Impacto"),(AG48-(+AG48*Y49)),IF(V49="Impacto",(R48-(+R48*Y49)),IF(V49="Probabilidad",AG48,""))),"")</f>
        <v>1</v>
      </c>
      <c r="AH49" s="214" t="str">
        <f t="shared" ref="AH49:AH50" si="45">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Extremo</v>
      </c>
      <c r="AI49" s="215" t="s">
        <v>135</v>
      </c>
      <c r="AJ49" s="344"/>
      <c r="AK49" s="335"/>
      <c r="AL49" s="336"/>
      <c r="AM49" s="336"/>
      <c r="AN49" s="385"/>
      <c r="AO49" s="335"/>
      <c r="AP49" s="398"/>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row>
    <row r="50" spans="1:73" s="169" customFormat="1" ht="106.5" x14ac:dyDescent="0.2">
      <c r="A50" s="354"/>
      <c r="B50" s="351"/>
      <c r="C50" s="351"/>
      <c r="D50" s="338"/>
      <c r="E50" s="338"/>
      <c r="F50" s="338"/>
      <c r="G50" s="338"/>
      <c r="H50" s="338"/>
      <c r="I50" s="355"/>
      <c r="J50" s="353"/>
      <c r="K50" s="338"/>
      <c r="L50" s="353"/>
      <c r="M50" s="340"/>
      <c r="N50" s="342"/>
      <c r="O50" s="349"/>
      <c r="P50" s="342">
        <f>IF(NOT(ISERROR(MATCH(O50,_xlfn.ANCHORARRAY(I61),0))),N63&amp;"Por favor no seleccionar los criterios de impacto",O50)</f>
        <v>0</v>
      </c>
      <c r="Q50" s="340"/>
      <c r="R50" s="342"/>
      <c r="S50" s="343"/>
      <c r="T50" s="206">
        <v>3</v>
      </c>
      <c r="U50" s="220" t="s">
        <v>458</v>
      </c>
      <c r="V50" s="208" t="str">
        <f>IF(OR(W50="Preventivo",W50="Detectivo"),"Probabilidad",IF(W50="Correctivo","Impacto",""))</f>
        <v>Impacto</v>
      </c>
      <c r="W50" s="209" t="s">
        <v>16</v>
      </c>
      <c r="X50" s="209" t="s">
        <v>9</v>
      </c>
      <c r="Y50" s="210" t="str">
        <f t="shared" si="43"/>
        <v>25%</v>
      </c>
      <c r="Z50" s="209" t="s">
        <v>19</v>
      </c>
      <c r="AA50" s="209" t="s">
        <v>22</v>
      </c>
      <c r="AB50" s="209" t="s">
        <v>119</v>
      </c>
      <c r="AC50" s="211">
        <f>IFERROR(IF(AND(V49="Probabilidad",V50="Probabilidad"),(AE49-(+AE49*Y50)),IF(AND(V49="Impacto",V50="Probabilidad"),(AE48-(+AE48*Y50)),IF(V50="Impacto",AE49,""))),"")</f>
        <v>0.28799999999999998</v>
      </c>
      <c r="AD50" s="212" t="str">
        <f t="shared" si="1"/>
        <v>Baja</v>
      </c>
      <c r="AE50" s="213">
        <f t="shared" si="44"/>
        <v>0.28799999999999998</v>
      </c>
      <c r="AF50" s="212" t="str">
        <f t="shared" si="3"/>
        <v>Mayor</v>
      </c>
      <c r="AG50" s="213">
        <f>IFERROR(IF(AND(V49="Impacto",V50="Impacto"),(AG49-(+AG49*Y50)),IF(AND(V49="Probabilidad",V50="Impacto"),(AG48-(+AG48*Y50)),IF(V50="Probabilidad",AG49,""))),"")</f>
        <v>0.75</v>
      </c>
      <c r="AH50" s="214" t="str">
        <f t="shared" si="45"/>
        <v>Alto</v>
      </c>
      <c r="AI50" s="215" t="s">
        <v>32</v>
      </c>
      <c r="AJ50" s="344"/>
      <c r="AK50" s="335"/>
      <c r="AL50" s="336"/>
      <c r="AM50" s="336"/>
      <c r="AN50" s="385"/>
      <c r="AO50" s="335"/>
      <c r="AP50" s="398"/>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row>
    <row r="51" spans="1:73" s="169" customFormat="1" ht="66.75" customHeight="1" x14ac:dyDescent="0.2">
      <c r="A51" s="354"/>
      <c r="B51" s="351"/>
      <c r="C51" s="351"/>
      <c r="D51" s="338"/>
      <c r="E51" s="338"/>
      <c r="F51" s="338"/>
      <c r="G51" s="338"/>
      <c r="H51" s="338"/>
      <c r="I51" s="355"/>
      <c r="J51" s="353"/>
      <c r="K51" s="338"/>
      <c r="L51" s="353"/>
      <c r="M51" s="340"/>
      <c r="N51" s="342"/>
      <c r="O51" s="349"/>
      <c r="P51" s="342">
        <f>IF(NOT(ISERROR(MATCH(O51,_xlfn.ANCHORARRAY(I62),0))),N64&amp;"Por favor no seleccionar los criterios de impacto",O51)</f>
        <v>0</v>
      </c>
      <c r="Q51" s="340"/>
      <c r="R51" s="342"/>
      <c r="S51" s="343"/>
      <c r="T51" s="206">
        <v>4</v>
      </c>
      <c r="U51" s="207"/>
      <c r="V51" s="208" t="str">
        <f t="shared" ref="V51:V53" si="46">IF(OR(W51="Preventivo",W51="Detectivo"),"Probabilidad",IF(W51="Correctivo","Impacto",""))</f>
        <v/>
      </c>
      <c r="W51" s="209"/>
      <c r="X51" s="209"/>
      <c r="Y51" s="210" t="str">
        <f t="shared" si="43"/>
        <v/>
      </c>
      <c r="Z51" s="209"/>
      <c r="AA51" s="209"/>
      <c r="AB51" s="209"/>
      <c r="AC51" s="211" t="str">
        <f t="shared" ref="AC51:AC53" si="47">IFERROR(IF(AND(V50="Probabilidad",V51="Probabilidad"),(AE50-(+AE50*Y51)),IF(AND(V50="Impacto",V51="Probabilidad"),(AE49-(+AE49*Y51)),IF(V51="Impacto",AE50,""))),"")</f>
        <v/>
      </c>
      <c r="AD51" s="212" t="str">
        <f t="shared" si="1"/>
        <v/>
      </c>
      <c r="AE51" s="213" t="str">
        <f t="shared" si="44"/>
        <v/>
      </c>
      <c r="AF51" s="212" t="str">
        <f t="shared" si="3"/>
        <v/>
      </c>
      <c r="AG51" s="213" t="str">
        <f t="shared" ref="AG51:AG53" si="48">IFERROR(IF(AND(V50="Impacto",V51="Impacto"),(AG50-(+AG50*Y51)),IF(AND(V50="Probabilidad",V51="Impacto"),(AG49-(+AG49*Y51)),IF(V51="Probabilidad",AG50,""))),"")</f>
        <v/>
      </c>
      <c r="AH51" s="214"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
      </c>
      <c r="AI51" s="215"/>
      <c r="AJ51" s="344"/>
      <c r="AK51" s="335"/>
      <c r="AL51" s="336"/>
      <c r="AM51" s="336"/>
      <c r="AN51" s="385"/>
      <c r="AO51" s="335"/>
      <c r="AP51" s="398"/>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row>
    <row r="52" spans="1:73" s="169" customFormat="1" ht="66.75" customHeight="1" x14ac:dyDescent="0.2">
      <c r="A52" s="354"/>
      <c r="B52" s="351"/>
      <c r="C52" s="351"/>
      <c r="D52" s="338"/>
      <c r="E52" s="338"/>
      <c r="F52" s="338"/>
      <c r="G52" s="338"/>
      <c r="H52" s="338"/>
      <c r="I52" s="355"/>
      <c r="J52" s="353"/>
      <c r="K52" s="338"/>
      <c r="L52" s="353"/>
      <c r="M52" s="340"/>
      <c r="N52" s="342"/>
      <c r="O52" s="349"/>
      <c r="P52" s="342">
        <f>IF(NOT(ISERROR(MATCH(O52,_xlfn.ANCHORARRAY(I63),0))),N65&amp;"Por favor no seleccionar los criterios de impacto",O52)</f>
        <v>0</v>
      </c>
      <c r="Q52" s="340"/>
      <c r="R52" s="342"/>
      <c r="S52" s="343"/>
      <c r="T52" s="206">
        <v>5</v>
      </c>
      <c r="U52" s="207"/>
      <c r="V52" s="208" t="str">
        <f t="shared" si="46"/>
        <v/>
      </c>
      <c r="W52" s="209"/>
      <c r="X52" s="209"/>
      <c r="Y52" s="210" t="str">
        <f t="shared" si="43"/>
        <v/>
      </c>
      <c r="Z52" s="209"/>
      <c r="AA52" s="209"/>
      <c r="AB52" s="209"/>
      <c r="AC52" s="211" t="str">
        <f t="shared" si="47"/>
        <v/>
      </c>
      <c r="AD52" s="212" t="str">
        <f t="shared" si="1"/>
        <v/>
      </c>
      <c r="AE52" s="213" t="str">
        <f t="shared" si="44"/>
        <v/>
      </c>
      <c r="AF52" s="212" t="str">
        <f t="shared" si="3"/>
        <v/>
      </c>
      <c r="AG52" s="213" t="str">
        <f t="shared" si="48"/>
        <v/>
      </c>
      <c r="AH52" s="214" t="str">
        <f t="shared" ref="AH52:AH53" si="49">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
      </c>
      <c r="AI52" s="215"/>
      <c r="AJ52" s="344"/>
      <c r="AK52" s="335"/>
      <c r="AL52" s="336"/>
      <c r="AM52" s="336"/>
      <c r="AN52" s="385"/>
      <c r="AO52" s="335"/>
      <c r="AP52" s="398"/>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row>
    <row r="53" spans="1:73" s="169" customFormat="1" ht="66.75" customHeight="1" x14ac:dyDescent="0.2">
      <c r="A53" s="354"/>
      <c r="B53" s="351"/>
      <c r="C53" s="351"/>
      <c r="D53" s="338"/>
      <c r="E53" s="338"/>
      <c r="F53" s="338"/>
      <c r="G53" s="338"/>
      <c r="H53" s="338"/>
      <c r="I53" s="355"/>
      <c r="J53" s="353"/>
      <c r="K53" s="338"/>
      <c r="L53" s="353"/>
      <c r="M53" s="340"/>
      <c r="N53" s="342"/>
      <c r="O53" s="349"/>
      <c r="P53" s="342">
        <f>IF(NOT(ISERROR(MATCH(O53,_xlfn.ANCHORARRAY(I64),0))),N66&amp;"Por favor no seleccionar los criterios de impacto",O53)</f>
        <v>0</v>
      </c>
      <c r="Q53" s="340"/>
      <c r="R53" s="342"/>
      <c r="S53" s="343"/>
      <c r="T53" s="206">
        <v>6</v>
      </c>
      <c r="U53" s="207"/>
      <c r="V53" s="208" t="str">
        <f t="shared" si="46"/>
        <v/>
      </c>
      <c r="W53" s="209"/>
      <c r="X53" s="209"/>
      <c r="Y53" s="210" t="str">
        <f t="shared" si="43"/>
        <v/>
      </c>
      <c r="Z53" s="209"/>
      <c r="AA53" s="209"/>
      <c r="AB53" s="209"/>
      <c r="AC53" s="211" t="str">
        <f t="shared" si="47"/>
        <v/>
      </c>
      <c r="AD53" s="212" t="str">
        <f t="shared" si="1"/>
        <v/>
      </c>
      <c r="AE53" s="213" t="str">
        <f t="shared" si="44"/>
        <v/>
      </c>
      <c r="AF53" s="212" t="str">
        <f t="shared" si="3"/>
        <v/>
      </c>
      <c r="AG53" s="213" t="str">
        <f t="shared" si="48"/>
        <v/>
      </c>
      <c r="AH53" s="214" t="str">
        <f t="shared" si="49"/>
        <v/>
      </c>
      <c r="AI53" s="215"/>
      <c r="AJ53" s="344"/>
      <c r="AK53" s="335"/>
      <c r="AL53" s="336"/>
      <c r="AM53" s="336"/>
      <c r="AN53" s="385"/>
      <c r="AO53" s="335"/>
      <c r="AP53" s="398"/>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row>
    <row r="54" spans="1:73" s="169" customFormat="1" ht="96.75" customHeight="1" x14ac:dyDescent="0.2">
      <c r="A54" s="354" t="s">
        <v>364</v>
      </c>
      <c r="B54" s="351" t="s">
        <v>229</v>
      </c>
      <c r="C54" s="351" t="s">
        <v>230</v>
      </c>
      <c r="D54" s="338" t="s">
        <v>131</v>
      </c>
      <c r="E54" s="338" t="s">
        <v>410</v>
      </c>
      <c r="F54" s="338" t="s">
        <v>401</v>
      </c>
      <c r="G54" s="338" t="s">
        <v>402</v>
      </c>
      <c r="H54" s="338" t="s">
        <v>403</v>
      </c>
      <c r="I54" s="355" t="s">
        <v>468</v>
      </c>
      <c r="J54" s="353" t="s">
        <v>400</v>
      </c>
      <c r="K54" s="338" t="s">
        <v>356</v>
      </c>
      <c r="L54" s="339">
        <v>13</v>
      </c>
      <c r="M54" s="340" t="str">
        <f>IF(L54&lt;=0,"",IF(L54&lt;=2,"Muy Baja",IF(L54&lt;=24,"Baja",IF(L54&lt;=500,"Media",IF(L54&lt;=5000,"Alta","Muy Alta")))))</f>
        <v>Baja</v>
      </c>
      <c r="N54" s="342">
        <f>IF(M54="","",IF(M54="Muy Baja",0.2,IF(M54="Baja",0.4,IF(M54="Media",0.6,IF(M54="Alta",0.8,IF(M54="Muy Alta",1,))))))</f>
        <v>0.4</v>
      </c>
      <c r="O54" s="349" t="s">
        <v>154</v>
      </c>
      <c r="P54" s="342" t="str">
        <f>IF(NOT(ISERROR(MATCH(O54,'Tabla Impacto'!$B$221:$B$223,0))),'Tabla Impacto'!$F$223&amp;"Por favor no seleccionar los criterios de impacto(Afectación Económica o presupuestal y Pérdida Reputacional)",O54)</f>
        <v xml:space="preserve">     El riesgo afecta la imagen de la entidad a nivel nacional, con efecto publicitarios sostenible a nivel país</v>
      </c>
      <c r="Q54" s="340" t="str">
        <f>IF(OR(P54='Tabla Impacto'!$C$11,P54='Tabla Impacto'!$D$11),"Leve",IF(OR(P54='Tabla Impacto'!$C$12,P54='Tabla Impacto'!$D$12),"Menor",IF(OR(P54='Tabla Impacto'!$C$13,P54='Tabla Impacto'!$D$13),"Moderado",IF(OR(P54='Tabla Impacto'!$C$14,P54='Tabla Impacto'!$D$14),"Mayor",IF(OR(P54='Tabla Impacto'!$C$15,P54='Tabla Impacto'!$D$15),"Catastrófico","")))))</f>
        <v>Catastrófico</v>
      </c>
      <c r="R54" s="342">
        <f>IF(Q54="","",IF(Q54="Leve",0.2,IF(Q54="Menor",0.4,IF(Q54="Moderado",0.6,IF(Q54="Mayor",0.8,IF(Q54="Catastrófico",1,))))))</f>
        <v>1</v>
      </c>
      <c r="S54" s="343"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Extremo</v>
      </c>
      <c r="T54" s="206">
        <v>1</v>
      </c>
      <c r="U54" s="207" t="s">
        <v>416</v>
      </c>
      <c r="V54" s="208" t="str">
        <f>IF(OR(W54="Preventivo",W54="Detectivo"),"Probabilidad",IF(W54="Correctivo","Impacto",""))</f>
        <v>Probabilidad</v>
      </c>
      <c r="W54" s="209" t="s">
        <v>14</v>
      </c>
      <c r="X54" s="209" t="s">
        <v>9</v>
      </c>
      <c r="Y54" s="210" t="str">
        <f>IF(AND(W54="Preventivo",X54="Automático"),"50%",IF(AND(W54="Preventivo",X54="Manual"),"40%",IF(AND(W54="Detectivo",X54="Automático"),"40%",IF(AND(W54="Detectivo",X54="Manual"),"30%",IF(AND(W54="Correctivo",X54="Automático"),"35%",IF(AND(W54="Correctivo",X54="Manual"),"25%",""))))))</f>
        <v>40%</v>
      </c>
      <c r="Z54" s="209" t="s">
        <v>19</v>
      </c>
      <c r="AA54" s="209" t="s">
        <v>22</v>
      </c>
      <c r="AB54" s="209" t="s">
        <v>119</v>
      </c>
      <c r="AC54" s="211">
        <f>IFERROR(IF(V54="Probabilidad",(N54-(+N54*Y54)),IF(V54="Impacto",N54,"")),"")</f>
        <v>0.24</v>
      </c>
      <c r="AD54" s="212" t="str">
        <f>IFERROR(IF(AC54="","",IF(AC54&lt;=0.2,"Muy Baja",IF(AC54&lt;=0.4,"Baja",IF(AC54&lt;=0.6,"Media",IF(AC54&lt;=0.8,"Alta","Muy Alta"))))),"")</f>
        <v>Baja</v>
      </c>
      <c r="AE54" s="213">
        <f>+AC54</f>
        <v>0.24</v>
      </c>
      <c r="AF54" s="212" t="str">
        <f>IFERROR(IF(AG54="","",IF(AG54&lt;=0.2,"Leve",IF(AG54&lt;=0.4,"Menor",IF(AG54&lt;=0.6,"Moderado",IF(AG54&lt;=0.8,"Mayor","Catastrófico"))))),"")</f>
        <v>Catastrófico</v>
      </c>
      <c r="AG54" s="213">
        <f>IFERROR(IF(V54="Impacto",(R54-(+R54*Y54)),IF(V54="Probabilidad",R54,"")),"")</f>
        <v>1</v>
      </c>
      <c r="AH54" s="214"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Extremo</v>
      </c>
      <c r="AI54" s="215" t="s">
        <v>135</v>
      </c>
      <c r="AJ54" s="344" t="s">
        <v>469</v>
      </c>
      <c r="AK54" s="335" t="s">
        <v>286</v>
      </c>
      <c r="AL54" s="336">
        <v>44928</v>
      </c>
      <c r="AM54" s="336">
        <v>44955</v>
      </c>
      <c r="AN54" s="385" t="s">
        <v>417</v>
      </c>
      <c r="AO54" s="335" t="s">
        <v>418</v>
      </c>
      <c r="AP54" s="344" t="s">
        <v>419</v>
      </c>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row>
    <row r="55" spans="1:73" s="169" customFormat="1" ht="136.5" customHeight="1" x14ac:dyDescent="0.2">
      <c r="A55" s="354"/>
      <c r="B55" s="351"/>
      <c r="C55" s="351"/>
      <c r="D55" s="338"/>
      <c r="E55" s="338"/>
      <c r="F55" s="338"/>
      <c r="G55" s="338"/>
      <c r="H55" s="338"/>
      <c r="I55" s="355"/>
      <c r="J55" s="353"/>
      <c r="K55" s="338"/>
      <c r="L55" s="339"/>
      <c r="M55" s="340"/>
      <c r="N55" s="342"/>
      <c r="O55" s="349"/>
      <c r="P55" s="342">
        <f>IF(NOT(ISERROR(MATCH(O55,_xlfn.ANCHORARRAY(I66),0))),N68&amp;"Por favor no seleccionar los criterios de impacto",O55)</f>
        <v>0</v>
      </c>
      <c r="Q55" s="340"/>
      <c r="R55" s="342"/>
      <c r="S55" s="343"/>
      <c r="T55" s="206">
        <v>2</v>
      </c>
      <c r="U55" s="207" t="s">
        <v>467</v>
      </c>
      <c r="V55" s="208" t="str">
        <f>IF(OR(W55="Preventivo",W55="Detectivo"),"Probabilidad",IF(W55="Correctivo","Impacto",""))</f>
        <v>Probabilidad</v>
      </c>
      <c r="W55" s="209" t="s">
        <v>14</v>
      </c>
      <c r="X55" s="209" t="s">
        <v>9</v>
      </c>
      <c r="Y55" s="210" t="str">
        <f t="shared" ref="Y55:Y59" si="50">IF(AND(W55="Preventivo",X55="Automático"),"50%",IF(AND(W55="Preventivo",X55="Manual"),"40%",IF(AND(W55="Detectivo",X55="Automático"),"40%",IF(AND(W55="Detectivo",X55="Manual"),"30%",IF(AND(W55="Correctivo",X55="Automático"),"35%",IF(AND(W55="Correctivo",X55="Manual"),"25%",""))))))</f>
        <v>40%</v>
      </c>
      <c r="Z55" s="209" t="s">
        <v>19</v>
      </c>
      <c r="AA55" s="209" t="s">
        <v>22</v>
      </c>
      <c r="AB55" s="209" t="s">
        <v>119</v>
      </c>
      <c r="AC55" s="211">
        <f>IFERROR(IF(AND(V54="Probabilidad",V55="Probabilidad"),(AE54-(+AE54*Y55)),IF(V55="Probabilidad",(N54-(+N54*Y55)),IF(V55="Impacto",AE54,""))),"")</f>
        <v>0.14399999999999999</v>
      </c>
      <c r="AD55" s="212" t="str">
        <f t="shared" si="1"/>
        <v>Muy Baja</v>
      </c>
      <c r="AE55" s="213">
        <f t="shared" ref="AE55:AE59" si="51">+AC55</f>
        <v>0.14399999999999999</v>
      </c>
      <c r="AF55" s="212" t="str">
        <f t="shared" si="3"/>
        <v>Catastrófico</v>
      </c>
      <c r="AG55" s="213">
        <f>IFERROR(IF(AND(V54="Impacto",V55="Impacto"),(AG54-(+AG54*Y55)),IF(V55="Impacto",(R54-(+R54*Y55)),IF(V55="Probabilidad",AG54,""))),"")</f>
        <v>1</v>
      </c>
      <c r="AH55" s="214" t="str">
        <f t="shared" ref="AH55:AH56" si="52">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Extremo</v>
      </c>
      <c r="AI55" s="215" t="s">
        <v>135</v>
      </c>
      <c r="AJ55" s="344"/>
      <c r="AK55" s="335"/>
      <c r="AL55" s="336"/>
      <c r="AM55" s="336"/>
      <c r="AN55" s="385"/>
      <c r="AO55" s="335"/>
      <c r="AP55" s="344"/>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row>
    <row r="56" spans="1:73" s="169" customFormat="1" ht="66.75" customHeight="1" x14ac:dyDescent="0.2">
      <c r="A56" s="354"/>
      <c r="B56" s="351"/>
      <c r="C56" s="351"/>
      <c r="D56" s="338"/>
      <c r="E56" s="338"/>
      <c r="F56" s="338"/>
      <c r="G56" s="338"/>
      <c r="H56" s="338"/>
      <c r="I56" s="355"/>
      <c r="J56" s="353"/>
      <c r="K56" s="338"/>
      <c r="L56" s="339"/>
      <c r="M56" s="340"/>
      <c r="N56" s="342"/>
      <c r="O56" s="349"/>
      <c r="P56" s="342">
        <f>IF(NOT(ISERROR(MATCH(O56,_xlfn.ANCHORARRAY(I67),0))),N69&amp;"Por favor no seleccionar los criterios de impacto",O56)</f>
        <v>0</v>
      </c>
      <c r="Q56" s="340"/>
      <c r="R56" s="342"/>
      <c r="S56" s="343"/>
      <c r="T56" s="206">
        <v>3</v>
      </c>
      <c r="U56" s="220"/>
      <c r="V56" s="208" t="str">
        <f>IF(OR(W56="Preventivo",W56="Detectivo"),"Probabilidad",IF(W56="Correctivo","Impacto",""))</f>
        <v/>
      </c>
      <c r="W56" s="209"/>
      <c r="X56" s="209"/>
      <c r="Y56" s="210" t="str">
        <f t="shared" si="50"/>
        <v/>
      </c>
      <c r="Z56" s="209"/>
      <c r="AA56" s="209"/>
      <c r="AB56" s="209"/>
      <c r="AC56" s="211" t="str">
        <f>IFERROR(IF(AND(V55="Probabilidad",V56="Probabilidad"),(AE55-(+AE55*Y56)),IF(AND(V55="Impacto",V56="Probabilidad"),(AE54-(+AE54*Y56)),IF(V56="Impacto",AE55,""))),"")</f>
        <v/>
      </c>
      <c r="AD56" s="212" t="str">
        <f t="shared" si="1"/>
        <v/>
      </c>
      <c r="AE56" s="213" t="str">
        <f t="shared" si="51"/>
        <v/>
      </c>
      <c r="AF56" s="212" t="str">
        <f t="shared" si="3"/>
        <v/>
      </c>
      <c r="AG56" s="213" t="str">
        <f>IFERROR(IF(AND(V55="Impacto",V56="Impacto"),(AG55-(+AG55*Y56)),IF(AND(V55="Probabilidad",V56="Impacto"),(AG54-(+AG54*Y56)),IF(V56="Probabilidad",AG55,""))),"")</f>
        <v/>
      </c>
      <c r="AH56" s="214" t="str">
        <f t="shared" si="52"/>
        <v/>
      </c>
      <c r="AI56" s="215"/>
      <c r="AJ56" s="344"/>
      <c r="AK56" s="335"/>
      <c r="AL56" s="336"/>
      <c r="AM56" s="336"/>
      <c r="AN56" s="385"/>
      <c r="AO56" s="335"/>
      <c r="AP56" s="344"/>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row>
    <row r="57" spans="1:73" s="169" customFormat="1" ht="66.75" customHeight="1" x14ac:dyDescent="0.2">
      <c r="A57" s="354"/>
      <c r="B57" s="351"/>
      <c r="C57" s="351"/>
      <c r="D57" s="338"/>
      <c r="E57" s="338"/>
      <c r="F57" s="338"/>
      <c r="G57" s="338"/>
      <c r="H57" s="338"/>
      <c r="I57" s="355"/>
      <c r="J57" s="353"/>
      <c r="K57" s="338"/>
      <c r="L57" s="339"/>
      <c r="M57" s="340"/>
      <c r="N57" s="342"/>
      <c r="O57" s="349"/>
      <c r="P57" s="342">
        <f>IF(NOT(ISERROR(MATCH(O57,_xlfn.ANCHORARRAY(I68),0))),N70&amp;"Por favor no seleccionar los criterios de impacto",O57)</f>
        <v>0</v>
      </c>
      <c r="Q57" s="340"/>
      <c r="R57" s="342"/>
      <c r="S57" s="343"/>
      <c r="T57" s="206">
        <v>4</v>
      </c>
      <c r="U57" s="207"/>
      <c r="V57" s="208" t="str">
        <f t="shared" ref="V57:V59" si="53">IF(OR(W57="Preventivo",W57="Detectivo"),"Probabilidad",IF(W57="Correctivo","Impacto",""))</f>
        <v/>
      </c>
      <c r="W57" s="209"/>
      <c r="X57" s="209"/>
      <c r="Y57" s="210" t="str">
        <f t="shared" si="50"/>
        <v/>
      </c>
      <c r="Z57" s="209"/>
      <c r="AA57" s="209"/>
      <c r="AB57" s="209"/>
      <c r="AC57" s="211" t="str">
        <f t="shared" ref="AC57:AC59" si="54">IFERROR(IF(AND(V56="Probabilidad",V57="Probabilidad"),(AE56-(+AE56*Y57)),IF(AND(V56="Impacto",V57="Probabilidad"),(AE55-(+AE55*Y57)),IF(V57="Impacto",AE56,""))),"")</f>
        <v/>
      </c>
      <c r="AD57" s="212" t="str">
        <f t="shared" si="1"/>
        <v/>
      </c>
      <c r="AE57" s="213" t="str">
        <f t="shared" si="51"/>
        <v/>
      </c>
      <c r="AF57" s="212" t="str">
        <f t="shared" si="3"/>
        <v/>
      </c>
      <c r="AG57" s="213" t="str">
        <f t="shared" ref="AG57:AG59" si="55">IFERROR(IF(AND(V56="Impacto",V57="Impacto"),(AG56-(+AG56*Y57)),IF(AND(V56="Probabilidad",V57="Impacto"),(AG55-(+AG55*Y57)),IF(V57="Probabilidad",AG56,""))),"")</f>
        <v/>
      </c>
      <c r="AH57" s="214"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
      </c>
      <c r="AI57" s="215"/>
      <c r="AJ57" s="344"/>
      <c r="AK57" s="335"/>
      <c r="AL57" s="336"/>
      <c r="AM57" s="336"/>
      <c r="AN57" s="385"/>
      <c r="AO57" s="335"/>
      <c r="AP57" s="344"/>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row>
    <row r="58" spans="1:73" s="169" customFormat="1" ht="66.75" customHeight="1" x14ac:dyDescent="0.2">
      <c r="A58" s="354"/>
      <c r="B58" s="351"/>
      <c r="C58" s="351"/>
      <c r="D58" s="338"/>
      <c r="E58" s="338"/>
      <c r="F58" s="338"/>
      <c r="G58" s="338"/>
      <c r="H58" s="338"/>
      <c r="I58" s="355"/>
      <c r="J58" s="353"/>
      <c r="K58" s="338"/>
      <c r="L58" s="339"/>
      <c r="M58" s="340"/>
      <c r="N58" s="342"/>
      <c r="O58" s="349"/>
      <c r="P58" s="342">
        <f>IF(NOT(ISERROR(MATCH(O58,_xlfn.ANCHORARRAY(I69),0))),N71&amp;"Por favor no seleccionar los criterios de impacto",O58)</f>
        <v>0</v>
      </c>
      <c r="Q58" s="340"/>
      <c r="R58" s="342"/>
      <c r="S58" s="343"/>
      <c r="T58" s="206">
        <v>5</v>
      </c>
      <c r="U58" s="207"/>
      <c r="V58" s="208" t="str">
        <f t="shared" si="53"/>
        <v/>
      </c>
      <c r="W58" s="209"/>
      <c r="X58" s="209"/>
      <c r="Y58" s="210" t="str">
        <f t="shared" si="50"/>
        <v/>
      </c>
      <c r="Z58" s="209"/>
      <c r="AA58" s="209"/>
      <c r="AB58" s="209"/>
      <c r="AC58" s="211" t="str">
        <f t="shared" si="54"/>
        <v/>
      </c>
      <c r="AD58" s="212" t="str">
        <f t="shared" si="1"/>
        <v/>
      </c>
      <c r="AE58" s="213" t="str">
        <f t="shared" si="51"/>
        <v/>
      </c>
      <c r="AF58" s="212" t="str">
        <f t="shared" si="3"/>
        <v/>
      </c>
      <c r="AG58" s="213" t="str">
        <f t="shared" si="55"/>
        <v/>
      </c>
      <c r="AH58" s="214" t="str">
        <f t="shared" ref="AH58:AH59" si="56">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
      </c>
      <c r="AI58" s="215"/>
      <c r="AJ58" s="344"/>
      <c r="AK58" s="335"/>
      <c r="AL58" s="336"/>
      <c r="AM58" s="336"/>
      <c r="AN58" s="385"/>
      <c r="AO58" s="335"/>
      <c r="AP58" s="344"/>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row>
    <row r="59" spans="1:73" s="169" customFormat="1" ht="38.25" customHeight="1" x14ac:dyDescent="0.2">
      <c r="A59" s="354"/>
      <c r="B59" s="351"/>
      <c r="C59" s="351"/>
      <c r="D59" s="338"/>
      <c r="E59" s="338"/>
      <c r="F59" s="338"/>
      <c r="G59" s="338"/>
      <c r="H59" s="338"/>
      <c r="I59" s="355"/>
      <c r="J59" s="353"/>
      <c r="K59" s="338"/>
      <c r="L59" s="339"/>
      <c r="M59" s="340"/>
      <c r="N59" s="342"/>
      <c r="O59" s="349"/>
      <c r="P59" s="342">
        <f>IF(NOT(ISERROR(MATCH(O59,_xlfn.ANCHORARRAY(I70),0))),N72&amp;"Por favor no seleccionar los criterios de impacto",O59)</f>
        <v>0</v>
      </c>
      <c r="Q59" s="340"/>
      <c r="R59" s="342"/>
      <c r="S59" s="343"/>
      <c r="T59" s="206">
        <v>6</v>
      </c>
      <c r="U59" s="207"/>
      <c r="V59" s="208" t="str">
        <f t="shared" si="53"/>
        <v/>
      </c>
      <c r="W59" s="209"/>
      <c r="X59" s="209"/>
      <c r="Y59" s="210" t="str">
        <f t="shared" si="50"/>
        <v/>
      </c>
      <c r="Z59" s="209"/>
      <c r="AA59" s="209"/>
      <c r="AB59" s="209"/>
      <c r="AC59" s="211" t="str">
        <f t="shared" si="54"/>
        <v/>
      </c>
      <c r="AD59" s="212" t="str">
        <f t="shared" si="1"/>
        <v/>
      </c>
      <c r="AE59" s="213" t="str">
        <f t="shared" si="51"/>
        <v/>
      </c>
      <c r="AF59" s="212" t="str">
        <f t="shared" si="3"/>
        <v/>
      </c>
      <c r="AG59" s="213" t="str">
        <f t="shared" si="55"/>
        <v/>
      </c>
      <c r="AH59" s="214" t="str">
        <f t="shared" si="56"/>
        <v/>
      </c>
      <c r="AI59" s="215"/>
      <c r="AJ59" s="344"/>
      <c r="AK59" s="335"/>
      <c r="AL59" s="336"/>
      <c r="AM59" s="336"/>
      <c r="AN59" s="385"/>
      <c r="AO59" s="335"/>
      <c r="AP59" s="344"/>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row>
    <row r="60" spans="1:73" s="169" customFormat="1" ht="94.5" x14ac:dyDescent="0.2">
      <c r="A60" s="354">
        <v>9</v>
      </c>
      <c r="B60" s="351" t="s">
        <v>231</v>
      </c>
      <c r="C60" s="351" t="s">
        <v>244</v>
      </c>
      <c r="D60" s="338" t="s">
        <v>131</v>
      </c>
      <c r="E60" s="338" t="s">
        <v>412</v>
      </c>
      <c r="F60" s="338" t="s">
        <v>470</v>
      </c>
      <c r="G60" s="347" t="s">
        <v>471</v>
      </c>
      <c r="H60" s="347" t="s">
        <v>411</v>
      </c>
      <c r="I60" s="346" t="s">
        <v>479</v>
      </c>
      <c r="J60" s="346" t="s">
        <v>472</v>
      </c>
      <c r="K60" s="338" t="s">
        <v>356</v>
      </c>
      <c r="L60" s="339">
        <v>500</v>
      </c>
      <c r="M60" s="340" t="str">
        <f>IF(L60&lt;=0,"",IF(L60&lt;=2,"Muy Baja",IF(L60&lt;=24,"Baja",IF(L60&lt;=500,"Media",IF(L60&lt;=5000,"Alta","Muy Alta")))))</f>
        <v>Media</v>
      </c>
      <c r="N60" s="342">
        <f>IF(M60="","",IF(M60="Muy Baja",0.2,IF(M60="Baja",0.4,IF(M60="Media",0.6,IF(M60="Alta",0.8,IF(M60="Muy Alta",1,))))))</f>
        <v>0.6</v>
      </c>
      <c r="O60" s="349" t="s">
        <v>154</v>
      </c>
      <c r="P60" s="342" t="str">
        <f>IF(NOT(ISERROR(MATCH(O60,'Tabla Impacto'!$B$221:$B$223,0))),'Tabla Impacto'!$F$223&amp;"Por favor no seleccionar los criterios de impacto(Afectación Económica o presupuestal y Pérdida Reputacional)",O60)</f>
        <v xml:space="preserve">     El riesgo afecta la imagen de la entidad a nivel nacional, con efecto publicitarios sostenible a nivel país</v>
      </c>
      <c r="Q60" s="340" t="str">
        <f>IF(OR(P60='Tabla Impacto'!$C$11,P60='Tabla Impacto'!$D$11),"Leve",IF(OR(P60='Tabla Impacto'!$C$12,P60='Tabla Impacto'!$D$12),"Menor",IF(OR(P60='Tabla Impacto'!$C$13,P60='Tabla Impacto'!$D$13),"Moderado",IF(OR(P60='Tabla Impacto'!$C$14,P60='Tabla Impacto'!$D$14),"Mayor",IF(OR(P60='Tabla Impacto'!$C$15,P60='Tabla Impacto'!$D$15),"Catastrófico","")))))</f>
        <v>Catastrófico</v>
      </c>
      <c r="R60" s="342">
        <f>IF(Q60="","",IF(Q60="Leve",0.2,IF(Q60="Menor",0.4,IF(Q60="Moderado",0.6,IF(Q60="Mayor",0.8,IF(Q60="Catastrófico",1,))))))</f>
        <v>1</v>
      </c>
      <c r="S60" s="343"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Extremo</v>
      </c>
      <c r="T60" s="206">
        <v>1</v>
      </c>
      <c r="U60" s="221" t="s">
        <v>473</v>
      </c>
      <c r="V60" s="208" t="str">
        <f>IF(OR(W60="Preventivo",W60="Detectivo"),"Probabilidad",IF(W60="Correctivo","Impacto",""))</f>
        <v>Probabilidad</v>
      </c>
      <c r="W60" s="209" t="s">
        <v>14</v>
      </c>
      <c r="X60" s="209" t="s">
        <v>9</v>
      </c>
      <c r="Y60" s="210" t="str">
        <f>IF(AND(W60="Preventivo",X60="Automático"),"50%",IF(AND(W60="Preventivo",X60="Manual"),"40%",IF(AND(W60="Detectivo",X60="Automático"),"40%",IF(AND(W60="Detectivo",X60="Manual"),"30%",IF(AND(W60="Correctivo",X60="Automático"),"35%",IF(AND(W60="Correctivo",X60="Manual"),"25%",""))))))</f>
        <v>40%</v>
      </c>
      <c r="Z60" s="209" t="s">
        <v>19</v>
      </c>
      <c r="AA60" s="209" t="s">
        <v>22</v>
      </c>
      <c r="AB60" s="209" t="s">
        <v>119</v>
      </c>
      <c r="AC60" s="211">
        <f>IFERROR(IF(V60="Probabilidad",(N60-(+N60*Y60)),IF(V60="Impacto",N60,"")),"")</f>
        <v>0.36</v>
      </c>
      <c r="AD60" s="212" t="str">
        <f>IFERROR(IF(AC60="","",IF(AC60&lt;=0.2,"Muy Baja",IF(AC60&lt;=0.4,"Baja",IF(AC60&lt;=0.6,"Media",IF(AC60&lt;=0.8,"Alta","Muy Alta"))))),"")</f>
        <v>Baja</v>
      </c>
      <c r="AE60" s="213">
        <f>+AC60</f>
        <v>0.36</v>
      </c>
      <c r="AF60" s="212" t="str">
        <f>IFERROR(IF(AG60="","",IF(AG60&lt;=0.2,"Leve",IF(AG60&lt;=0.4,"Menor",IF(AG60&lt;=0.6,"Moderado",IF(AG60&lt;=0.8,"Mayor","Catastrófico"))))),"")</f>
        <v>Catastrófico</v>
      </c>
      <c r="AG60" s="213">
        <f>IFERROR(IF(V60="Impacto",(R60-(+R60*Y60)),IF(V60="Probabilidad",R60,"")),"")</f>
        <v>1</v>
      </c>
      <c r="AH60" s="214"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Extremo</v>
      </c>
      <c r="AI60" s="215" t="s">
        <v>135</v>
      </c>
      <c r="AJ60" s="344" t="s">
        <v>477</v>
      </c>
      <c r="AK60" s="335" t="s">
        <v>299</v>
      </c>
      <c r="AL60" s="336">
        <v>44928</v>
      </c>
      <c r="AM60" s="336">
        <v>45289</v>
      </c>
      <c r="AN60" s="385" t="s">
        <v>303</v>
      </c>
      <c r="AO60" s="335" t="s">
        <v>418</v>
      </c>
      <c r="AP60" s="397" t="s">
        <v>478</v>
      </c>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row>
    <row r="61" spans="1:73" s="169" customFormat="1" ht="94.5" x14ac:dyDescent="0.2">
      <c r="A61" s="354"/>
      <c r="B61" s="351"/>
      <c r="C61" s="351"/>
      <c r="D61" s="338"/>
      <c r="E61" s="338"/>
      <c r="F61" s="338"/>
      <c r="G61" s="347"/>
      <c r="H61" s="347"/>
      <c r="I61" s="346"/>
      <c r="J61" s="346"/>
      <c r="K61" s="338"/>
      <c r="L61" s="339"/>
      <c r="M61" s="340"/>
      <c r="N61" s="342"/>
      <c r="O61" s="349"/>
      <c r="P61" s="342">
        <f>IF(NOT(ISERROR(MATCH(O61,_xlfn.ANCHORARRAY(I72),0))),N74&amp;"Por favor no seleccionar los criterios de impacto",O61)</f>
        <v>0</v>
      </c>
      <c r="Q61" s="340"/>
      <c r="R61" s="342"/>
      <c r="S61" s="343"/>
      <c r="T61" s="206">
        <v>2</v>
      </c>
      <c r="U61" s="221" t="s">
        <v>474</v>
      </c>
      <c r="V61" s="208" t="str">
        <f>IF(OR(W61="Preventivo",W61="Detectivo"),"Probabilidad",IF(W61="Correctivo","Impacto",""))</f>
        <v>Probabilidad</v>
      </c>
      <c r="W61" s="209" t="s">
        <v>14</v>
      </c>
      <c r="X61" s="209" t="s">
        <v>9</v>
      </c>
      <c r="Y61" s="210" t="str">
        <f t="shared" ref="Y61:Y65" si="57">IF(AND(W61="Preventivo",X61="Automático"),"50%",IF(AND(W61="Preventivo",X61="Manual"),"40%",IF(AND(W61="Detectivo",X61="Automático"),"40%",IF(AND(W61="Detectivo",X61="Manual"),"30%",IF(AND(W61="Correctivo",X61="Automático"),"35%",IF(AND(W61="Correctivo",X61="Manual"),"25%",""))))))</f>
        <v>40%</v>
      </c>
      <c r="Z61" s="209" t="s">
        <v>19</v>
      </c>
      <c r="AA61" s="209" t="s">
        <v>22</v>
      </c>
      <c r="AB61" s="209" t="s">
        <v>119</v>
      </c>
      <c r="AC61" s="211">
        <f>IFERROR(IF(AND(V60="Probabilidad",V61="Probabilidad"),(AE60-(+AE60*Y61)),IF(V61="Probabilidad",(N60-(+N60*Y61)),IF(V61="Impacto",AE60,""))),"")</f>
        <v>0.216</v>
      </c>
      <c r="AD61" s="212" t="str">
        <f t="shared" si="1"/>
        <v>Baja</v>
      </c>
      <c r="AE61" s="213">
        <f t="shared" ref="AE61:AE65" si="58">+AC61</f>
        <v>0.216</v>
      </c>
      <c r="AF61" s="212" t="str">
        <f t="shared" si="3"/>
        <v>Catastrófico</v>
      </c>
      <c r="AG61" s="213">
        <f>IFERROR(IF(AND(V60="Impacto",V61="Impacto"),(AG60-(+AG60*Y61)),IF(V61="Impacto",(R60-(+R60*Y61)),IF(V61="Probabilidad",AG60,""))),"")</f>
        <v>1</v>
      </c>
      <c r="AH61" s="214" t="str">
        <f t="shared" ref="AH61:AH62" si="59">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Extremo</v>
      </c>
      <c r="AI61" s="215" t="s">
        <v>135</v>
      </c>
      <c r="AJ61" s="344"/>
      <c r="AK61" s="335"/>
      <c r="AL61" s="336"/>
      <c r="AM61" s="336"/>
      <c r="AN61" s="385"/>
      <c r="AO61" s="335"/>
      <c r="AP61" s="397"/>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row>
    <row r="62" spans="1:73" s="169" customFormat="1" ht="195.75" customHeight="1" x14ac:dyDescent="0.2">
      <c r="A62" s="354"/>
      <c r="B62" s="351"/>
      <c r="C62" s="351"/>
      <c r="D62" s="338"/>
      <c r="E62" s="338"/>
      <c r="F62" s="338"/>
      <c r="G62" s="347"/>
      <c r="H62" s="347"/>
      <c r="I62" s="346"/>
      <c r="J62" s="346"/>
      <c r="K62" s="338"/>
      <c r="L62" s="339"/>
      <c r="M62" s="340"/>
      <c r="N62" s="342"/>
      <c r="O62" s="349"/>
      <c r="P62" s="342">
        <f>IF(NOT(ISERROR(MATCH(O62,_xlfn.ANCHORARRAY(I73),0))),N75&amp;"Por favor no seleccionar los criterios de impacto",O62)</f>
        <v>0</v>
      </c>
      <c r="Q62" s="340"/>
      <c r="R62" s="342"/>
      <c r="S62" s="343"/>
      <c r="T62" s="206">
        <v>3</v>
      </c>
      <c r="U62" s="221" t="s">
        <v>475</v>
      </c>
      <c r="V62" s="208" t="str">
        <f>IF(OR(W62="Preventivo",W62="Detectivo"),"Probabilidad",IF(W62="Correctivo","Impacto",""))</f>
        <v>Probabilidad</v>
      </c>
      <c r="W62" s="209" t="s">
        <v>14</v>
      </c>
      <c r="X62" s="209" t="s">
        <v>9</v>
      </c>
      <c r="Y62" s="210" t="str">
        <f t="shared" si="57"/>
        <v>40%</v>
      </c>
      <c r="Z62" s="209" t="s">
        <v>19</v>
      </c>
      <c r="AA62" s="209" t="s">
        <v>22</v>
      </c>
      <c r="AB62" s="209" t="s">
        <v>119</v>
      </c>
      <c r="AC62" s="211">
        <f>IFERROR(IF(AND(V61="Probabilidad",V62="Probabilidad"),(AE61-(+AE61*Y62)),IF(AND(V61="Impacto",V62="Probabilidad"),(AE60-(+AE60*Y62)),IF(V62="Impacto",AE61,""))),"")</f>
        <v>0.12959999999999999</v>
      </c>
      <c r="AD62" s="212" t="str">
        <f t="shared" si="1"/>
        <v>Muy Baja</v>
      </c>
      <c r="AE62" s="213">
        <f t="shared" si="58"/>
        <v>0.12959999999999999</v>
      </c>
      <c r="AF62" s="212" t="str">
        <f t="shared" si="3"/>
        <v>Catastrófico</v>
      </c>
      <c r="AG62" s="213">
        <f>IFERROR(IF(AND(V61="Impacto",V62="Impacto"),(AG61-(+AG61*Y62)),IF(AND(V61="Probabilidad",V62="Impacto"),(AG60-(+AG60*Y62)),IF(V62="Probabilidad",AG61,""))),"")</f>
        <v>1</v>
      </c>
      <c r="AH62" s="214" t="str">
        <f t="shared" si="59"/>
        <v>Extremo</v>
      </c>
      <c r="AI62" s="215" t="s">
        <v>135</v>
      </c>
      <c r="AJ62" s="344"/>
      <c r="AK62" s="335"/>
      <c r="AL62" s="336"/>
      <c r="AM62" s="336"/>
      <c r="AN62" s="385"/>
      <c r="AO62" s="335"/>
      <c r="AP62" s="397"/>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row>
    <row r="63" spans="1:73" s="169" customFormat="1" ht="169.5" customHeight="1" x14ac:dyDescent="0.2">
      <c r="A63" s="354"/>
      <c r="B63" s="351"/>
      <c r="C63" s="351"/>
      <c r="D63" s="338"/>
      <c r="E63" s="338"/>
      <c r="F63" s="338"/>
      <c r="G63" s="347"/>
      <c r="H63" s="347"/>
      <c r="I63" s="346"/>
      <c r="J63" s="346"/>
      <c r="K63" s="338"/>
      <c r="L63" s="339"/>
      <c r="M63" s="340"/>
      <c r="N63" s="342"/>
      <c r="O63" s="349"/>
      <c r="P63" s="342">
        <f>IF(NOT(ISERROR(MATCH(O63,_xlfn.ANCHORARRAY(I74),0))),N76&amp;"Por favor no seleccionar los criterios de impacto",O63)</f>
        <v>0</v>
      </c>
      <c r="Q63" s="340"/>
      <c r="R63" s="342"/>
      <c r="S63" s="343"/>
      <c r="T63" s="206">
        <v>4</v>
      </c>
      <c r="U63" s="221" t="s">
        <v>476</v>
      </c>
      <c r="V63" s="208" t="str">
        <f t="shared" ref="V63:V65" si="60">IF(OR(W63="Preventivo",W63="Detectivo"),"Probabilidad",IF(W63="Correctivo","Impacto",""))</f>
        <v>Probabilidad</v>
      </c>
      <c r="W63" s="209" t="s">
        <v>15</v>
      </c>
      <c r="X63" s="209" t="s">
        <v>9</v>
      </c>
      <c r="Y63" s="210" t="str">
        <f t="shared" si="57"/>
        <v>30%</v>
      </c>
      <c r="Z63" s="209" t="s">
        <v>19</v>
      </c>
      <c r="AA63" s="209" t="s">
        <v>22</v>
      </c>
      <c r="AB63" s="209" t="s">
        <v>119</v>
      </c>
      <c r="AC63" s="211">
        <f t="shared" ref="AC63:AC65" si="61">IFERROR(IF(AND(V62="Probabilidad",V63="Probabilidad"),(AE62-(+AE62*Y63)),IF(AND(V62="Impacto",V63="Probabilidad"),(AE61-(+AE61*Y63)),IF(V63="Impacto",AE62,""))),"")</f>
        <v>9.0719999999999995E-2</v>
      </c>
      <c r="AD63" s="212" t="str">
        <f t="shared" si="1"/>
        <v>Muy Baja</v>
      </c>
      <c r="AE63" s="213">
        <f t="shared" si="58"/>
        <v>9.0719999999999995E-2</v>
      </c>
      <c r="AF63" s="212" t="str">
        <f t="shared" si="3"/>
        <v>Catastrófico</v>
      </c>
      <c r="AG63" s="213">
        <f t="shared" ref="AG63:AG65" si="62">IFERROR(IF(AND(V62="Impacto",V63="Impacto"),(AG62-(+AG62*Y63)),IF(AND(V62="Probabilidad",V63="Impacto"),(AG61-(+AG61*Y63)),IF(V63="Probabilidad",AG62,""))),"")</f>
        <v>1</v>
      </c>
      <c r="AH63" s="214"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Extremo</v>
      </c>
      <c r="AI63" s="215" t="s">
        <v>135</v>
      </c>
      <c r="AJ63" s="344"/>
      <c r="AK63" s="335"/>
      <c r="AL63" s="336"/>
      <c r="AM63" s="336"/>
      <c r="AN63" s="385"/>
      <c r="AO63" s="335"/>
      <c r="AP63" s="397"/>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row>
    <row r="64" spans="1:73" s="169" customFormat="1" ht="15" x14ac:dyDescent="0.2">
      <c r="A64" s="354"/>
      <c r="B64" s="351"/>
      <c r="C64" s="351"/>
      <c r="D64" s="338"/>
      <c r="E64" s="338"/>
      <c r="F64" s="338"/>
      <c r="G64" s="347"/>
      <c r="H64" s="347"/>
      <c r="I64" s="346"/>
      <c r="J64" s="346"/>
      <c r="K64" s="338"/>
      <c r="L64" s="339"/>
      <c r="M64" s="340"/>
      <c r="N64" s="342"/>
      <c r="O64" s="349"/>
      <c r="P64" s="342">
        <f>IF(NOT(ISERROR(MATCH(O64,_xlfn.ANCHORARRAY(I75),0))),N77&amp;"Por favor no seleccionar los criterios de impacto",O64)</f>
        <v>0</v>
      </c>
      <c r="Q64" s="340"/>
      <c r="R64" s="342"/>
      <c r="S64" s="343"/>
      <c r="T64" s="206">
        <v>5</v>
      </c>
      <c r="U64" s="221"/>
      <c r="V64" s="208" t="str">
        <f t="shared" si="60"/>
        <v/>
      </c>
      <c r="W64" s="209"/>
      <c r="X64" s="209"/>
      <c r="Y64" s="210" t="str">
        <f t="shared" si="57"/>
        <v/>
      </c>
      <c r="Z64" s="209"/>
      <c r="AA64" s="209"/>
      <c r="AB64" s="209"/>
      <c r="AC64" s="211" t="str">
        <f t="shared" si="61"/>
        <v/>
      </c>
      <c r="AD64" s="212" t="str">
        <f t="shared" si="1"/>
        <v/>
      </c>
      <c r="AE64" s="213" t="str">
        <f t="shared" si="58"/>
        <v/>
      </c>
      <c r="AF64" s="212" t="str">
        <f t="shared" si="3"/>
        <v/>
      </c>
      <c r="AG64" s="213" t="str">
        <f t="shared" si="62"/>
        <v/>
      </c>
      <c r="AH64" s="214" t="str">
        <f t="shared" ref="AH64:AH65" si="63">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215"/>
      <c r="AJ64" s="344"/>
      <c r="AK64" s="335"/>
      <c r="AL64" s="336"/>
      <c r="AM64" s="336"/>
      <c r="AN64" s="385"/>
      <c r="AO64" s="335"/>
      <c r="AP64" s="397"/>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row>
    <row r="65" spans="1:73" s="169" customFormat="1" ht="15" x14ac:dyDescent="0.2">
      <c r="A65" s="354"/>
      <c r="B65" s="351"/>
      <c r="C65" s="351"/>
      <c r="D65" s="338"/>
      <c r="E65" s="338"/>
      <c r="F65" s="338"/>
      <c r="G65" s="347"/>
      <c r="H65" s="347"/>
      <c r="I65" s="346"/>
      <c r="J65" s="346"/>
      <c r="K65" s="338"/>
      <c r="L65" s="339"/>
      <c r="M65" s="340"/>
      <c r="N65" s="342"/>
      <c r="O65" s="349"/>
      <c r="P65" s="342">
        <f>IF(NOT(ISERROR(MATCH(O65,_xlfn.ANCHORARRAY(I76),0))),N78&amp;"Por favor no seleccionar los criterios de impacto",O65)</f>
        <v>0</v>
      </c>
      <c r="Q65" s="340"/>
      <c r="R65" s="342"/>
      <c r="S65" s="343"/>
      <c r="T65" s="206">
        <v>6</v>
      </c>
      <c r="U65" s="221"/>
      <c r="V65" s="208" t="str">
        <f t="shared" si="60"/>
        <v/>
      </c>
      <c r="W65" s="209"/>
      <c r="X65" s="209"/>
      <c r="Y65" s="210" t="str">
        <f t="shared" si="57"/>
        <v/>
      </c>
      <c r="Z65" s="209"/>
      <c r="AA65" s="209"/>
      <c r="AB65" s="209"/>
      <c r="AC65" s="211" t="str">
        <f t="shared" si="61"/>
        <v/>
      </c>
      <c r="AD65" s="212" t="str">
        <f t="shared" si="1"/>
        <v/>
      </c>
      <c r="AE65" s="213" t="str">
        <f t="shared" si="58"/>
        <v/>
      </c>
      <c r="AF65" s="212" t="str">
        <f t="shared" si="3"/>
        <v/>
      </c>
      <c r="AG65" s="213" t="str">
        <f t="shared" si="62"/>
        <v/>
      </c>
      <c r="AH65" s="214" t="str">
        <f t="shared" si="63"/>
        <v/>
      </c>
      <c r="AI65" s="215"/>
      <c r="AJ65" s="344"/>
      <c r="AK65" s="335"/>
      <c r="AL65" s="336"/>
      <c r="AM65" s="336"/>
      <c r="AN65" s="385"/>
      <c r="AO65" s="335"/>
      <c r="AP65" s="397"/>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row>
    <row r="66" spans="1:73" s="169" customFormat="1" ht="66.75" hidden="1" customHeight="1" x14ac:dyDescent="0.2">
      <c r="A66" s="359">
        <v>10</v>
      </c>
      <c r="B66" s="386"/>
      <c r="C66" s="386"/>
      <c r="D66" s="361"/>
      <c r="E66" s="361"/>
      <c r="F66" s="361"/>
      <c r="G66" s="388"/>
      <c r="H66" s="388"/>
      <c r="I66" s="363"/>
      <c r="J66" s="393"/>
      <c r="K66" s="365"/>
      <c r="L66" s="367"/>
      <c r="M66" s="369" t="str">
        <f>IF(L66&lt;=0,"",IF(L66&lt;=2,"Muy Baja",IF(L66&lt;=24,"Baja",IF(L66&lt;=500,"Media",IF(L66&lt;=5000,"Alta","Muy Alta")))))</f>
        <v/>
      </c>
      <c r="N66" s="371" t="str">
        <f>IF(M66="","",IF(M66="Muy Baja",0.2,IF(M66="Baja",0.4,IF(M66="Media",0.6,IF(M66="Alta",0.8,IF(M66="Muy Alta",1,))))))</f>
        <v/>
      </c>
      <c r="O66" s="373"/>
      <c r="P66" s="371">
        <f>IF(NOT(ISERROR(MATCH(O66,'Tabla Impacto'!$B$221:$B$223,0))),'Tabla Impacto'!$F$223&amp;"Por favor no seleccionar los criterios de impacto(Afectación Económica o presupuestal y Pérdida Reputacional)",O66)</f>
        <v>0</v>
      </c>
      <c r="Q66" s="369" t="str">
        <f>IF(OR(P66='Tabla Impacto'!$C$11,P66='Tabla Impacto'!$D$11),"Leve",IF(OR(P66='Tabla Impacto'!$C$12,P66='Tabla Impacto'!$D$12),"Menor",IF(OR(P66='Tabla Impacto'!$C$13,P66='Tabla Impacto'!$D$13),"Moderado",IF(OR(P66='Tabla Impacto'!$C$14,P66='Tabla Impacto'!$D$14),"Mayor",IF(OR(P66='Tabla Impacto'!$C$15,P66='Tabla Impacto'!$D$15),"Catastrófico","")))))</f>
        <v/>
      </c>
      <c r="R66" s="371" t="str">
        <f>IF(Q66="","",IF(Q66="Leve",0.2,IF(Q66="Menor",0.4,IF(Q66="Moderado",0.6,IF(Q66="Mayor",0.8,IF(Q66="Catastrófico",1,))))))</f>
        <v/>
      </c>
      <c r="S66" s="375" t="str">
        <f>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
      </c>
      <c r="T66" s="195">
        <v>1</v>
      </c>
      <c r="U66" s="196"/>
      <c r="V66" s="197" t="str">
        <f>IF(OR(W66="Preventivo",W66="Detectivo"),"Probabilidad",IF(W66="Correctivo","Impacto",""))</f>
        <v/>
      </c>
      <c r="W66" s="198"/>
      <c r="X66" s="198"/>
      <c r="Y66" s="199" t="str">
        <f>IF(AND(W66="Preventivo",X66="Automático"),"50%",IF(AND(W66="Preventivo",X66="Manual"),"40%",IF(AND(W66="Detectivo",X66="Automático"),"40%",IF(AND(W66="Detectivo",X66="Manual"),"30%",IF(AND(W66="Correctivo",X66="Automático"),"35%",IF(AND(W66="Correctivo",X66="Manual"),"25%",""))))))</f>
        <v/>
      </c>
      <c r="Z66" s="198"/>
      <c r="AA66" s="198"/>
      <c r="AB66" s="198"/>
      <c r="AC66" s="200" t="str">
        <f>IFERROR(IF(V66="Probabilidad",(N66-(+N66*Y66)),IF(V66="Impacto",N66,"")),"")</f>
        <v/>
      </c>
      <c r="AD66" s="201" t="str">
        <f>IFERROR(IF(AC66="","",IF(AC66&lt;=0.2,"Muy Baja",IF(AC66&lt;=0.4,"Baja",IF(AC66&lt;=0.6,"Media",IF(AC66&lt;=0.8,"Alta","Muy Alta"))))),"")</f>
        <v/>
      </c>
      <c r="AE66" s="202" t="str">
        <f>+AC66</f>
        <v/>
      </c>
      <c r="AF66" s="201" t="str">
        <f>IFERROR(IF(AG66="","",IF(AG66&lt;=0.2,"Leve",IF(AG66&lt;=0.4,"Menor",IF(AG66&lt;=0.6,"Moderado",IF(AG66&lt;=0.8,"Mayor","Catastrófico"))))),"")</f>
        <v/>
      </c>
      <c r="AG66" s="202" t="str">
        <f>IFERROR(IF(V66="Impacto",(R66-(+R66*Y66)),IF(V66="Probabilidad",R66,"")),"")</f>
        <v/>
      </c>
      <c r="AH66" s="203" t="str">
        <f>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
      </c>
      <c r="AI66" s="204"/>
      <c r="AJ66" s="194"/>
      <c r="AK66" s="389"/>
      <c r="AL66" s="391"/>
      <c r="AM66" s="395"/>
      <c r="AN66" s="394"/>
      <c r="AO66" s="394"/>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row>
    <row r="67" spans="1:73" s="169" customFormat="1" ht="66.75" hidden="1" customHeight="1" x14ac:dyDescent="0.2">
      <c r="A67" s="360"/>
      <c r="B67" s="387"/>
      <c r="C67" s="387"/>
      <c r="D67" s="362"/>
      <c r="E67" s="362"/>
      <c r="F67" s="362"/>
      <c r="G67" s="388"/>
      <c r="H67" s="388"/>
      <c r="I67" s="364"/>
      <c r="J67" s="393"/>
      <c r="K67" s="366"/>
      <c r="L67" s="368"/>
      <c r="M67" s="370"/>
      <c r="N67" s="372"/>
      <c r="O67" s="374"/>
      <c r="P67" s="372">
        <f>IF(NOT(ISERROR(MATCH(O67,_xlfn.ANCHORARRAY(I78),0))),N80&amp;"Por favor no seleccionar los criterios de impacto",O67)</f>
        <v>0</v>
      </c>
      <c r="Q67" s="370"/>
      <c r="R67" s="372"/>
      <c r="S67" s="376"/>
      <c r="T67" s="171">
        <v>2</v>
      </c>
      <c r="U67" s="182"/>
      <c r="V67" s="173" t="str">
        <f>IF(OR(W67="Preventivo",W67="Detectivo"),"Probabilidad",IF(W67="Correctivo","Impacto",""))</f>
        <v/>
      </c>
      <c r="W67" s="174"/>
      <c r="X67" s="174"/>
      <c r="Y67" s="175" t="str">
        <f t="shared" ref="Y67:Y71" si="64">IF(AND(W67="Preventivo",X67="Automático"),"50%",IF(AND(W67="Preventivo",X67="Manual"),"40%",IF(AND(W67="Detectivo",X67="Automático"),"40%",IF(AND(W67="Detectivo",X67="Manual"),"30%",IF(AND(W67="Correctivo",X67="Automático"),"35%",IF(AND(W67="Correctivo",X67="Manual"),"25%",""))))))</f>
        <v/>
      </c>
      <c r="Z67" s="174"/>
      <c r="AA67" s="174"/>
      <c r="AB67" s="174"/>
      <c r="AC67" s="176" t="str">
        <f>IFERROR(IF(AND(V66="Probabilidad",V67="Probabilidad"),(AE66-(+AE66*Y67)),IF(V67="Probabilidad",(N66-(+N66*Y67)),IF(V67="Impacto",AE66,""))),"")</f>
        <v/>
      </c>
      <c r="AD67" s="177" t="str">
        <f t="shared" si="1"/>
        <v/>
      </c>
      <c r="AE67" s="178" t="str">
        <f t="shared" ref="AE67:AE71" si="65">+AC67</f>
        <v/>
      </c>
      <c r="AF67" s="177" t="str">
        <f t="shared" si="3"/>
        <v/>
      </c>
      <c r="AG67" s="178" t="str">
        <f>IFERROR(IF(AND(V66="Impacto",V67="Impacto"),(AG66-(+AG66*Y67)),IF(V67="Impacto",(R66-(+R66*Y67)),IF(V67="Probabilidad",AG66,""))),"")</f>
        <v/>
      </c>
      <c r="AH67" s="179" t="str">
        <f t="shared" ref="AH67:AH68" si="66">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
      </c>
      <c r="AI67" s="180"/>
      <c r="AJ67" s="172"/>
      <c r="AK67" s="389"/>
      <c r="AL67" s="391"/>
      <c r="AM67" s="395"/>
      <c r="AN67" s="394"/>
      <c r="AO67" s="394"/>
    </row>
    <row r="68" spans="1:73" s="169" customFormat="1" ht="66.75" hidden="1" customHeight="1" x14ac:dyDescent="0.2">
      <c r="A68" s="360"/>
      <c r="B68" s="387"/>
      <c r="C68" s="387"/>
      <c r="D68" s="362"/>
      <c r="E68" s="362"/>
      <c r="F68" s="362"/>
      <c r="G68" s="388"/>
      <c r="H68" s="388"/>
      <c r="I68" s="364"/>
      <c r="J68" s="393"/>
      <c r="K68" s="366"/>
      <c r="L68" s="368"/>
      <c r="M68" s="370"/>
      <c r="N68" s="372"/>
      <c r="O68" s="374"/>
      <c r="P68" s="372">
        <f>IF(NOT(ISERROR(MATCH(O68,_xlfn.ANCHORARRAY(I79),0))),N81&amp;"Por favor no seleccionar los criterios de impacto",O68)</f>
        <v>0</v>
      </c>
      <c r="Q68" s="370"/>
      <c r="R68" s="372"/>
      <c r="S68" s="376"/>
      <c r="T68" s="171">
        <v>3</v>
      </c>
      <c r="U68" s="184"/>
      <c r="V68" s="173" t="str">
        <f>IF(OR(W68="Preventivo",W68="Detectivo"),"Probabilidad",IF(W68="Correctivo","Impacto",""))</f>
        <v/>
      </c>
      <c r="W68" s="174"/>
      <c r="X68" s="174"/>
      <c r="Y68" s="175" t="str">
        <f t="shared" si="64"/>
        <v/>
      </c>
      <c r="Z68" s="174"/>
      <c r="AA68" s="174"/>
      <c r="AB68" s="174"/>
      <c r="AC68" s="176" t="str">
        <f>IFERROR(IF(AND(V67="Probabilidad",V68="Probabilidad"),(AE67-(+AE67*Y68)),IF(AND(V67="Impacto",V68="Probabilidad"),(AE66-(+AE66*Y68)),IF(V68="Impacto",AE67,""))),"")</f>
        <v/>
      </c>
      <c r="AD68" s="177" t="str">
        <f t="shared" si="1"/>
        <v/>
      </c>
      <c r="AE68" s="178" t="str">
        <f t="shared" si="65"/>
        <v/>
      </c>
      <c r="AF68" s="177" t="str">
        <f t="shared" si="3"/>
        <v/>
      </c>
      <c r="AG68" s="178" t="str">
        <f>IFERROR(IF(AND(V67="Impacto",V68="Impacto"),(AG67-(+AG67*Y68)),IF(AND(V67="Probabilidad",V68="Impacto"),(AG66-(+AG66*Y68)),IF(V68="Probabilidad",AG67,""))),"")</f>
        <v/>
      </c>
      <c r="AH68" s="179" t="str">
        <f t="shared" si="66"/>
        <v/>
      </c>
      <c r="AI68" s="180"/>
      <c r="AJ68" s="172"/>
      <c r="AK68" s="389"/>
      <c r="AL68" s="391"/>
      <c r="AM68" s="395"/>
      <c r="AN68" s="394"/>
      <c r="AO68" s="394"/>
    </row>
    <row r="69" spans="1:73" s="169" customFormat="1" ht="66.75" hidden="1" customHeight="1" x14ac:dyDescent="0.2">
      <c r="A69" s="360"/>
      <c r="B69" s="387"/>
      <c r="C69" s="387"/>
      <c r="D69" s="362"/>
      <c r="E69" s="362"/>
      <c r="F69" s="362"/>
      <c r="G69" s="388"/>
      <c r="H69" s="388"/>
      <c r="I69" s="364"/>
      <c r="J69" s="393"/>
      <c r="K69" s="366"/>
      <c r="L69" s="368"/>
      <c r="M69" s="370"/>
      <c r="N69" s="372"/>
      <c r="O69" s="374"/>
      <c r="P69" s="372">
        <f>IF(NOT(ISERROR(MATCH(O69,_xlfn.ANCHORARRAY(I80),0))),N82&amp;"Por favor no seleccionar los criterios de impacto",O69)</f>
        <v>0</v>
      </c>
      <c r="Q69" s="370"/>
      <c r="R69" s="372"/>
      <c r="S69" s="376"/>
      <c r="T69" s="171">
        <v>4</v>
      </c>
      <c r="U69" s="182"/>
      <c r="V69" s="173" t="str">
        <f t="shared" ref="V69:V71" si="67">IF(OR(W69="Preventivo",W69="Detectivo"),"Probabilidad",IF(W69="Correctivo","Impacto",""))</f>
        <v/>
      </c>
      <c r="W69" s="174"/>
      <c r="X69" s="174"/>
      <c r="Y69" s="175" t="str">
        <f t="shared" si="64"/>
        <v/>
      </c>
      <c r="Z69" s="174"/>
      <c r="AA69" s="174"/>
      <c r="AB69" s="174"/>
      <c r="AC69" s="176" t="str">
        <f t="shared" ref="AC69:AC71" si="68">IFERROR(IF(AND(V68="Probabilidad",V69="Probabilidad"),(AE68-(+AE68*Y69)),IF(AND(V68="Impacto",V69="Probabilidad"),(AE67-(+AE67*Y69)),IF(V69="Impacto",AE68,""))),"")</f>
        <v/>
      </c>
      <c r="AD69" s="177" t="str">
        <f t="shared" si="1"/>
        <v/>
      </c>
      <c r="AE69" s="178" t="str">
        <f t="shared" si="65"/>
        <v/>
      </c>
      <c r="AF69" s="177" t="str">
        <f t="shared" si="3"/>
        <v/>
      </c>
      <c r="AG69" s="178" t="str">
        <f t="shared" ref="AG69:AG71" si="69">IFERROR(IF(AND(V68="Impacto",V69="Impacto"),(AG68-(+AG68*Y69)),IF(AND(V68="Probabilidad",V69="Impacto"),(AG67-(+AG67*Y69)),IF(V69="Probabilidad",AG68,""))),"")</f>
        <v/>
      </c>
      <c r="AH69" s="179"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
      </c>
      <c r="AI69" s="180"/>
      <c r="AJ69" s="183"/>
      <c r="AK69" s="389"/>
      <c r="AL69" s="391"/>
      <c r="AM69" s="395"/>
      <c r="AN69" s="394"/>
      <c r="AO69" s="394"/>
    </row>
    <row r="70" spans="1:73" s="169" customFormat="1" ht="66.75" hidden="1" customHeight="1" x14ac:dyDescent="0.2">
      <c r="A70" s="360"/>
      <c r="B70" s="387"/>
      <c r="C70" s="387"/>
      <c r="D70" s="362"/>
      <c r="E70" s="362"/>
      <c r="F70" s="362"/>
      <c r="G70" s="388"/>
      <c r="H70" s="388"/>
      <c r="I70" s="364"/>
      <c r="J70" s="393"/>
      <c r="K70" s="366"/>
      <c r="L70" s="368"/>
      <c r="M70" s="370"/>
      <c r="N70" s="372"/>
      <c r="O70" s="374"/>
      <c r="P70" s="372">
        <f>IF(NOT(ISERROR(MATCH(O70,_xlfn.ANCHORARRAY(I81),0))),N83&amp;"Por favor no seleccionar los criterios de impacto",O70)</f>
        <v>0</v>
      </c>
      <c r="Q70" s="370"/>
      <c r="R70" s="372"/>
      <c r="S70" s="376"/>
      <c r="T70" s="171">
        <v>5</v>
      </c>
      <c r="U70" s="182"/>
      <c r="V70" s="173" t="str">
        <f t="shared" si="67"/>
        <v/>
      </c>
      <c r="W70" s="174"/>
      <c r="X70" s="174"/>
      <c r="Y70" s="175" t="str">
        <f t="shared" si="64"/>
        <v/>
      </c>
      <c r="Z70" s="174"/>
      <c r="AA70" s="174"/>
      <c r="AB70" s="174"/>
      <c r="AC70" s="176" t="str">
        <f t="shared" si="68"/>
        <v/>
      </c>
      <c r="AD70" s="177" t="str">
        <f t="shared" si="1"/>
        <v/>
      </c>
      <c r="AE70" s="178" t="str">
        <f t="shared" si="65"/>
        <v/>
      </c>
      <c r="AF70" s="177" t="str">
        <f t="shared" si="3"/>
        <v/>
      </c>
      <c r="AG70" s="178" t="str">
        <f t="shared" si="69"/>
        <v/>
      </c>
      <c r="AH70" s="179" t="str">
        <f t="shared" ref="AH70:AH71" si="70">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
      </c>
      <c r="AI70" s="180"/>
      <c r="AJ70" s="183"/>
      <c r="AK70" s="389"/>
      <c r="AL70" s="391"/>
      <c r="AM70" s="395"/>
      <c r="AN70" s="394"/>
      <c r="AO70" s="394"/>
    </row>
    <row r="71" spans="1:73" s="169" customFormat="1" ht="66.75" hidden="1" customHeight="1" x14ac:dyDescent="0.2">
      <c r="A71" s="360"/>
      <c r="B71" s="387"/>
      <c r="C71" s="387"/>
      <c r="D71" s="362"/>
      <c r="E71" s="362"/>
      <c r="F71" s="362"/>
      <c r="G71" s="361"/>
      <c r="H71" s="361"/>
      <c r="I71" s="364"/>
      <c r="J71" s="363"/>
      <c r="K71" s="366"/>
      <c r="L71" s="368"/>
      <c r="M71" s="370"/>
      <c r="N71" s="372"/>
      <c r="O71" s="374"/>
      <c r="P71" s="372">
        <f>IF(NOT(ISERROR(MATCH(O71,_xlfn.ANCHORARRAY(I82),0))),N84&amp;"Por favor no seleccionar los criterios de impacto",O71)</f>
        <v>0</v>
      </c>
      <c r="Q71" s="370"/>
      <c r="R71" s="372"/>
      <c r="S71" s="376"/>
      <c r="T71" s="171">
        <v>6</v>
      </c>
      <c r="U71" s="182"/>
      <c r="V71" s="173" t="str">
        <f t="shared" si="67"/>
        <v/>
      </c>
      <c r="W71" s="174"/>
      <c r="X71" s="174"/>
      <c r="Y71" s="175" t="str">
        <f t="shared" si="64"/>
        <v/>
      </c>
      <c r="Z71" s="174"/>
      <c r="AA71" s="174"/>
      <c r="AB71" s="174"/>
      <c r="AC71" s="176" t="str">
        <f t="shared" si="68"/>
        <v/>
      </c>
      <c r="AD71" s="177" t="str">
        <f t="shared" si="1"/>
        <v/>
      </c>
      <c r="AE71" s="178" t="str">
        <f t="shared" si="65"/>
        <v/>
      </c>
      <c r="AF71" s="177" t="str">
        <f t="shared" si="3"/>
        <v/>
      </c>
      <c r="AG71" s="178" t="str">
        <f t="shared" si="69"/>
        <v/>
      </c>
      <c r="AH71" s="179" t="str">
        <f t="shared" si="70"/>
        <v/>
      </c>
      <c r="AI71" s="180"/>
      <c r="AJ71" s="183"/>
      <c r="AK71" s="390"/>
      <c r="AL71" s="392"/>
      <c r="AM71" s="396"/>
      <c r="AN71" s="367"/>
      <c r="AO71" s="367"/>
    </row>
    <row r="72" spans="1:73" ht="66.75" hidden="1" customHeight="1" x14ac:dyDescent="0.2">
      <c r="A72" s="115"/>
      <c r="B72" s="116"/>
      <c r="C72" s="138"/>
      <c r="D72" s="356" t="s">
        <v>222</v>
      </c>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8"/>
    </row>
    <row r="73" spans="1:73" ht="66.75" hidden="1" customHeight="1" x14ac:dyDescent="0.2">
      <c r="U73" s="193"/>
    </row>
    <row r="74" spans="1:73" ht="66.75" hidden="1" customHeight="1" x14ac:dyDescent="0.2">
      <c r="A74" s="114"/>
      <c r="B74" s="109"/>
      <c r="C74" s="140"/>
      <c r="D74" s="119"/>
      <c r="E74" s="109"/>
      <c r="F74" s="109"/>
      <c r="G74" s="109"/>
      <c r="H74" s="109"/>
      <c r="K74" s="109"/>
      <c r="U74" s="172"/>
    </row>
    <row r="75" spans="1:73" ht="66.75" hidden="1" customHeight="1" x14ac:dyDescent="0.2">
      <c r="U75" s="191"/>
    </row>
  </sheetData>
  <dataConsolidate/>
  <mergeCells count="314">
    <mergeCell ref="AP48:AP53"/>
    <mergeCell ref="AJ60:AJ65"/>
    <mergeCell ref="AP60:AP65"/>
    <mergeCell ref="AP9:AP11"/>
    <mergeCell ref="AP18:AP23"/>
    <mergeCell ref="AO18:AO23"/>
    <mergeCell ref="AN18:AN23"/>
    <mergeCell ref="AP24:AP29"/>
    <mergeCell ref="AO24:AO29"/>
    <mergeCell ref="AN24:AN29"/>
    <mergeCell ref="AP30:AP35"/>
    <mergeCell ref="AP36:AP41"/>
    <mergeCell ref="AP42:AP47"/>
    <mergeCell ref="AJ42:AJ47"/>
    <mergeCell ref="AJ54:AJ59"/>
    <mergeCell ref="AP54:AP59"/>
    <mergeCell ref="AK42:AK47"/>
    <mergeCell ref="AK48:AK53"/>
    <mergeCell ref="AK54:AK59"/>
    <mergeCell ref="AO30:AO35"/>
    <mergeCell ref="AO36:AO41"/>
    <mergeCell ref="AO60:AO65"/>
    <mergeCell ref="AJ30:AJ35"/>
    <mergeCell ref="AL30:AL35"/>
    <mergeCell ref="AO42:AO47"/>
    <mergeCell ref="AO48:AO53"/>
    <mergeCell ref="AO54:AO59"/>
    <mergeCell ref="AJ48:AJ53"/>
    <mergeCell ref="AO66:AO71"/>
    <mergeCell ref="AM30:AM35"/>
    <mergeCell ref="AM36:AM41"/>
    <mergeCell ref="AM42:AM47"/>
    <mergeCell ref="AM48:AM53"/>
    <mergeCell ref="AM54:AM59"/>
    <mergeCell ref="AM60:AM65"/>
    <mergeCell ref="AM66:AM71"/>
    <mergeCell ref="AN30:AN35"/>
    <mergeCell ref="AN36:AN41"/>
    <mergeCell ref="AN42:AN47"/>
    <mergeCell ref="AN48:AN53"/>
    <mergeCell ref="AN54:AN59"/>
    <mergeCell ref="AN60:AN65"/>
    <mergeCell ref="AN66:AN71"/>
    <mergeCell ref="AL36:AL41"/>
    <mergeCell ref="AL42:AL47"/>
    <mergeCell ref="AL48:AL53"/>
    <mergeCell ref="AL54:AL59"/>
    <mergeCell ref="AL60:AL65"/>
    <mergeCell ref="AL66:AL71"/>
    <mergeCell ref="AK30:AK35"/>
    <mergeCell ref="AK36:AK41"/>
    <mergeCell ref="J66:J71"/>
    <mergeCell ref="L48:L53"/>
    <mergeCell ref="M48:M53"/>
    <mergeCell ref="N48:N53"/>
    <mergeCell ref="O54:O59"/>
    <mergeCell ref="O48:O53"/>
    <mergeCell ref="K48:K53"/>
    <mergeCell ref="J48:J53"/>
    <mergeCell ref="O30:O35"/>
    <mergeCell ref="P30:P35"/>
    <mergeCell ref="Q30:Q35"/>
    <mergeCell ref="R30:R35"/>
    <mergeCell ref="S30:S35"/>
    <mergeCell ref="S54:S59"/>
    <mergeCell ref="S48:S53"/>
    <mergeCell ref="R42:R47"/>
    <mergeCell ref="N36:N41"/>
    <mergeCell ref="P48:P53"/>
    <mergeCell ref="Q48:Q53"/>
    <mergeCell ref="P54:P59"/>
    <mergeCell ref="Q54:Q59"/>
    <mergeCell ref="R54:R59"/>
    <mergeCell ref="AK60:AK65"/>
    <mergeCell ref="AK66:AK71"/>
    <mergeCell ref="AJ36:AJ41"/>
    <mergeCell ref="S36:S41"/>
    <mergeCell ref="G66:G71"/>
    <mergeCell ref="O42:O47"/>
    <mergeCell ref="P42:P47"/>
    <mergeCell ref="Q42:Q47"/>
    <mergeCell ref="L36:L41"/>
    <mergeCell ref="M36:M41"/>
    <mergeCell ref="R48:R53"/>
    <mergeCell ref="O36:O41"/>
    <mergeCell ref="L42:L47"/>
    <mergeCell ref="M42:M47"/>
    <mergeCell ref="N42:N47"/>
    <mergeCell ref="P36:P41"/>
    <mergeCell ref="Q36:Q41"/>
    <mergeCell ref="R36:R41"/>
    <mergeCell ref="S42:S47"/>
    <mergeCell ref="B60:B65"/>
    <mergeCell ref="C60:C65"/>
    <mergeCell ref="I60:I65"/>
    <mergeCell ref="K60:K65"/>
    <mergeCell ref="L60:L65"/>
    <mergeCell ref="M60:M65"/>
    <mergeCell ref="N60:N65"/>
    <mergeCell ref="K54:K59"/>
    <mergeCell ref="L54:L59"/>
    <mergeCell ref="M54:M59"/>
    <mergeCell ref="N54:N59"/>
    <mergeCell ref="J54:J59"/>
    <mergeCell ref="J60:J65"/>
    <mergeCell ref="G60:G65"/>
    <mergeCell ref="F60:F65"/>
    <mergeCell ref="D60:D65"/>
    <mergeCell ref="S24:S29"/>
    <mergeCell ref="AK24:AK29"/>
    <mergeCell ref="AL24:AL29"/>
    <mergeCell ref="AJ12:AJ17"/>
    <mergeCell ref="AN12:AN17"/>
    <mergeCell ref="AO12:AO17"/>
    <mergeCell ref="B66:B71"/>
    <mergeCell ref="C66:C71"/>
    <mergeCell ref="H18:H23"/>
    <mergeCell ref="H24:H29"/>
    <mergeCell ref="H30:H35"/>
    <mergeCell ref="H36:H41"/>
    <mergeCell ref="H42:H47"/>
    <mergeCell ref="H48:H53"/>
    <mergeCell ref="H54:H59"/>
    <mergeCell ref="H60:H65"/>
    <mergeCell ref="H66:H71"/>
    <mergeCell ref="G18:G23"/>
    <mergeCell ref="G24:G29"/>
    <mergeCell ref="G30:G35"/>
    <mergeCell ref="G36:G41"/>
    <mergeCell ref="G42:G47"/>
    <mergeCell ref="G48:G53"/>
    <mergeCell ref="AM24:AM29"/>
    <mergeCell ref="A1:D3"/>
    <mergeCell ref="E1:T3"/>
    <mergeCell ref="G10:G11"/>
    <mergeCell ref="J10:J11"/>
    <mergeCell ref="E6:S6"/>
    <mergeCell ref="T6:V6"/>
    <mergeCell ref="A4:AO4"/>
    <mergeCell ref="A9:L9"/>
    <mergeCell ref="M9:S9"/>
    <mergeCell ref="T9:AB9"/>
    <mergeCell ref="AC9:AI9"/>
    <mergeCell ref="AJ9:AO9"/>
    <mergeCell ref="A6:D6"/>
    <mergeCell ref="A7:D7"/>
    <mergeCell ref="A8:D8"/>
    <mergeCell ref="E7:S7"/>
    <mergeCell ref="E8:S8"/>
    <mergeCell ref="AE10:AE11"/>
    <mergeCell ref="AO10:AO11"/>
    <mergeCell ref="AN10:AN11"/>
    <mergeCell ref="E10:E11"/>
    <mergeCell ref="A10:A11"/>
    <mergeCell ref="AJ24:AJ29"/>
    <mergeCell ref="AJ18:AJ23"/>
    <mergeCell ref="D72:AO72"/>
    <mergeCell ref="R60:R65"/>
    <mergeCell ref="S60:S65"/>
    <mergeCell ref="A66:A71"/>
    <mergeCell ref="D66:D71"/>
    <mergeCell ref="E66:E71"/>
    <mergeCell ref="F66:F71"/>
    <mergeCell ref="I66:I71"/>
    <mergeCell ref="K66:K71"/>
    <mergeCell ref="L66:L71"/>
    <mergeCell ref="M66:M71"/>
    <mergeCell ref="N66:N71"/>
    <mergeCell ref="O66:O71"/>
    <mergeCell ref="P66:P71"/>
    <mergeCell ref="Q66:Q71"/>
    <mergeCell ref="R66:R71"/>
    <mergeCell ref="S66:S71"/>
    <mergeCell ref="O60:O65"/>
    <mergeCell ref="P60:P65"/>
    <mergeCell ref="Q60:Q65"/>
    <mergeCell ref="A60:A65"/>
    <mergeCell ref="E60:E65"/>
    <mergeCell ref="A54:A59"/>
    <mergeCell ref="D54:D59"/>
    <mergeCell ref="E54:E59"/>
    <mergeCell ref="F54:F59"/>
    <mergeCell ref="I54:I59"/>
    <mergeCell ref="A48:A53"/>
    <mergeCell ref="D48:D53"/>
    <mergeCell ref="E48:E53"/>
    <mergeCell ref="F48:F53"/>
    <mergeCell ref="I48:I53"/>
    <mergeCell ref="B48:B53"/>
    <mergeCell ref="C48:C53"/>
    <mergeCell ref="B54:B59"/>
    <mergeCell ref="C54:C59"/>
    <mergeCell ref="G54:G59"/>
    <mergeCell ref="A36:A41"/>
    <mergeCell ref="D36:D41"/>
    <mergeCell ref="E36:E41"/>
    <mergeCell ref="A42:A47"/>
    <mergeCell ref="D42:D47"/>
    <mergeCell ref="E42:E47"/>
    <mergeCell ref="F42:F47"/>
    <mergeCell ref="I42:I47"/>
    <mergeCell ref="K42:K47"/>
    <mergeCell ref="F36:F41"/>
    <mergeCell ref="I36:I41"/>
    <mergeCell ref="K36:K41"/>
    <mergeCell ref="J36:J41"/>
    <mergeCell ref="J42:J47"/>
    <mergeCell ref="C36:C41"/>
    <mergeCell ref="B42:B47"/>
    <mergeCell ref="C42:C47"/>
    <mergeCell ref="B36:B41"/>
    <mergeCell ref="O24:O29"/>
    <mergeCell ref="P24:P29"/>
    <mergeCell ref="Q24:Q29"/>
    <mergeCell ref="K18:K23"/>
    <mergeCell ref="L18:L23"/>
    <mergeCell ref="M18:M23"/>
    <mergeCell ref="N18:N23"/>
    <mergeCell ref="O18:O23"/>
    <mergeCell ref="A30:A35"/>
    <mergeCell ref="D30:D35"/>
    <mergeCell ref="E30:E35"/>
    <mergeCell ref="F30:F35"/>
    <mergeCell ref="I30:I35"/>
    <mergeCell ref="K30:K35"/>
    <mergeCell ref="L30:L35"/>
    <mergeCell ref="M30:M35"/>
    <mergeCell ref="N30:N35"/>
    <mergeCell ref="B30:B35"/>
    <mergeCell ref="C30:C35"/>
    <mergeCell ref="J30:J35"/>
    <mergeCell ref="B24:B29"/>
    <mergeCell ref="C24:C29"/>
    <mergeCell ref="J24:J29"/>
    <mergeCell ref="R24:R29"/>
    <mergeCell ref="K10:K11"/>
    <mergeCell ref="B10:B11"/>
    <mergeCell ref="C10:C11"/>
    <mergeCell ref="H10:H11"/>
    <mergeCell ref="D10:D11"/>
    <mergeCell ref="J18:J23"/>
    <mergeCell ref="A24:A29"/>
    <mergeCell ref="D24:D29"/>
    <mergeCell ref="E24:E29"/>
    <mergeCell ref="F24:F29"/>
    <mergeCell ref="I24:I29"/>
    <mergeCell ref="K24:K29"/>
    <mergeCell ref="L24:L29"/>
    <mergeCell ref="M24:M29"/>
    <mergeCell ref="N24:N29"/>
    <mergeCell ref="A18:A23"/>
    <mergeCell ref="D18:D23"/>
    <mergeCell ref="P18:P23"/>
    <mergeCell ref="Q18:Q23"/>
    <mergeCell ref="E18:E23"/>
    <mergeCell ref="F18:F23"/>
    <mergeCell ref="I18:I23"/>
    <mergeCell ref="A12:A17"/>
    <mergeCell ref="D12:D17"/>
    <mergeCell ref="E12:E17"/>
    <mergeCell ref="F12:F17"/>
    <mergeCell ref="I12:I17"/>
    <mergeCell ref="B12:B17"/>
    <mergeCell ref="C12:C17"/>
    <mergeCell ref="H12:H17"/>
    <mergeCell ref="B18:B23"/>
    <mergeCell ref="C18:C23"/>
    <mergeCell ref="AP12:AP17"/>
    <mergeCell ref="F10:F11"/>
    <mergeCell ref="U1:AO1"/>
    <mergeCell ref="U2:AO2"/>
    <mergeCell ref="U3:AO3"/>
    <mergeCell ref="J12:J17"/>
    <mergeCell ref="G12:G17"/>
    <mergeCell ref="AK12:AK17"/>
    <mergeCell ref="AI10:AI11"/>
    <mergeCell ref="T10:T11"/>
    <mergeCell ref="AH10:AH11"/>
    <mergeCell ref="AG10:AG11"/>
    <mergeCell ref="AC10:AC11"/>
    <mergeCell ref="U10:U11"/>
    <mergeCell ref="AF10:AF11"/>
    <mergeCell ref="AD10:AD11"/>
    <mergeCell ref="S12:S17"/>
    <mergeCell ref="N12:N17"/>
    <mergeCell ref="O12:O17"/>
    <mergeCell ref="P12:P17"/>
    <mergeCell ref="Q12:Q17"/>
    <mergeCell ref="R12:R17"/>
    <mergeCell ref="I10:I11"/>
    <mergeCell ref="AK18:AK23"/>
    <mergeCell ref="AL12:AL17"/>
    <mergeCell ref="AM12:AM17"/>
    <mergeCell ref="AL18:AL23"/>
    <mergeCell ref="AM18:AM23"/>
    <mergeCell ref="V10:V11"/>
    <mergeCell ref="W10:AB10"/>
    <mergeCell ref="K12:K17"/>
    <mergeCell ref="L12:L17"/>
    <mergeCell ref="M12:M17"/>
    <mergeCell ref="L10:L11"/>
    <mergeCell ref="M10:M11"/>
    <mergeCell ref="N10:N11"/>
    <mergeCell ref="Q10:Q11"/>
    <mergeCell ref="R10:R11"/>
    <mergeCell ref="AJ10:AJ11"/>
    <mergeCell ref="S10:S11"/>
    <mergeCell ref="O10:O11"/>
    <mergeCell ref="P10:P11"/>
    <mergeCell ref="AM10:AM11"/>
    <mergeCell ref="AL10:AL11"/>
    <mergeCell ref="AK10:AK11"/>
    <mergeCell ref="R18:R23"/>
    <mergeCell ref="S18:S23"/>
  </mergeCells>
  <conditionalFormatting sqref="M12 M18">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Q12 Q18 Q24 Q30 Q36 Q42 Q48 Q54 Q60 Q66">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S12">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D12:AD17">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F12:AF17">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H12:AH17">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M60">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S18">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D18:AD23">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F18:AF23">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H18:AH23">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M24">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S24">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D24:AD29">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F24:AF29">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H24:AH29">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M30">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S30">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D30:AD35">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F30:AF35">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H30:AH35">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M36">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S36">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D36:AD41">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F36:AF41">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H36:AH41">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M42">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S42">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D42:AD47">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F42:AF47">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H42:AH47">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M48">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S48">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D48:AD53">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F48:AF53">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H48:AH53">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M54">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S54">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D54:AD59">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F54:AF59">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H54:AH59">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S60">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D60:AD65">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F60:AF65">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H60:AH65">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M66">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S66">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66:AD71">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66:AF71">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66:AH71">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2:P71">
    <cfRule type="containsText" dxfId="7" priority="1" operator="containsText" text="❌">
      <formula>NOT(ISERROR(SEARCH("❌",P12)))</formula>
    </cfRule>
  </conditionalFormatting>
  <dataValidations count="1">
    <dataValidation showInputMessage="1" showErrorMessage="1" error="Recuerde que las acciones se generan bajo la medida de mitigar el riesgo" sqref="AJ12 AJ54 AJ30 AJ42 AJ36 AJ66:AJ71 AJ18 AJ48 AJ60 AJ24" xr:uid="{00000000-0002-0000-0300-000000000000}"/>
  </dataValidations>
  <pageMargins left="0.33" right="0.26" top="0.41" bottom="0.74803149606299213" header="0.31496062992125984" footer="0.31496062992125984"/>
  <pageSetup paperSize="5" scale="26" orientation="landscape" r:id="rId1"/>
  <colBreaks count="1" manualBreakCount="1">
    <brk id="41" max="1048575" man="1"/>
  </colBreaks>
  <ignoredErrors>
    <ignoredError sqref="AG14" formula="1"/>
  </ignoredErrors>
  <extLst>
    <ext xmlns:x14="http://schemas.microsoft.com/office/spreadsheetml/2009/9/main" uri="{CCE6A557-97BC-4b89-ADB6-D9C93CAAB3DF}">
      <x14:dataValidations xmlns:xm="http://schemas.microsoft.com/office/excel/2006/main" count="23">
        <x14:dataValidation type="list" allowBlank="1" showInputMessage="1" showErrorMessage="1" xr:uid="{00000000-0002-0000-0300-000001000000}">
          <x14:formula1>
            <xm:f>'Tabla Valoración controles'!$D$4:$D$6</xm:f>
          </x14:formula1>
          <xm:sqref>W14:W17 W35 W28:W29 W23 W39:W59 W63:W71</xm:sqref>
        </x14:dataValidation>
        <x14:dataValidation type="list" allowBlank="1" showInputMessage="1" showErrorMessage="1" xr:uid="{00000000-0002-0000-0300-000002000000}">
          <x14:formula1>
            <xm:f>'Tabla Valoración controles'!$D$7:$D$8</xm:f>
          </x14:formula1>
          <xm:sqref>X14:X17 X35 X28:X29 X23 X39:X59 X63:X71</xm:sqref>
        </x14:dataValidation>
        <x14:dataValidation type="list" allowBlank="1" showInputMessage="1" showErrorMessage="1" xr:uid="{00000000-0002-0000-0300-000003000000}">
          <x14:formula1>
            <xm:f>'Tabla Valoración controles'!$D$9:$D$10</xm:f>
          </x14:formula1>
          <xm:sqref>Z14:Z17 Z35 Z28:Z29 Z23 Z39:Z59 Z63:Z71</xm:sqref>
        </x14:dataValidation>
        <x14:dataValidation type="list" allowBlank="1" showInputMessage="1" showErrorMessage="1" xr:uid="{00000000-0002-0000-0300-000004000000}">
          <x14:formula1>
            <xm:f>'Tabla Valoración controles'!$D$11:$D$12</xm:f>
          </x14:formula1>
          <xm:sqref>AA14:AA17 AA35 AA28:AA29 AA23 AA39:AA59 AA63:AA71</xm:sqref>
        </x14:dataValidation>
        <x14:dataValidation type="list" allowBlank="1" showInputMessage="1" showErrorMessage="1" xr:uid="{00000000-0002-0000-0300-000005000000}">
          <x14:formula1>
            <xm:f>'Tabla Valoración controles'!$D$13:$D$14</xm:f>
          </x14:formula1>
          <xm:sqref>AB14:AB17 AB35 AB28:AB29 AB23 AB39:AB59 AB63:AB71</xm:sqref>
        </x14:dataValidation>
        <x14:dataValidation type="list" allowBlank="1" showInputMessage="1" showErrorMessage="1" xr:uid="{00000000-0002-0000-0300-000006000000}">
          <x14:formula1>
            <xm:f>'Opciones Tratamiento'!$E$2:$E$4</xm:f>
          </x14:formula1>
          <xm:sqref>D12:D71</xm:sqref>
        </x14:dataValidation>
        <x14:dataValidation type="list" allowBlank="1" showInputMessage="1" showErrorMessage="1" xr:uid="{00000000-0002-0000-0300-000007000000}">
          <x14:formula1>
            <xm:f>'Opciones Tratamiento'!$B$2:$B$5</xm:f>
          </x14:formula1>
          <xm:sqref>AI20:AI23 AI12:AI18 AI28:AI71</xm:sqref>
        </x14:dataValidation>
        <x14:dataValidation type="list" allowBlank="1" showInputMessage="1" showErrorMessage="1" xr:uid="{00000000-0002-0000-0300-000008000000}">
          <x14:formula1>
            <xm:f>'Tabla Impacto'!$F$210:$F$221</xm:f>
          </x14:formula1>
          <xm:sqref>O12:O71</xm:sqref>
        </x14:dataValidation>
        <x14:dataValidation type="list" allowBlank="1" showInputMessage="1" showErrorMessage="1" xr:uid="{00000000-0002-0000-0300-000009000000}">
          <x14:formula1>
            <xm:f>'Opciones Tratamiento'!$B$22:$B$43</xm:f>
          </x14:formula1>
          <xm:sqref>C12:C71</xm:sqref>
        </x14:dataValidation>
        <x14:dataValidation type="list" allowBlank="1" showInputMessage="1" showErrorMessage="1" xr:uid="{00000000-0002-0000-0300-00000A000000}">
          <x14:formula1>
            <xm:f>'Opciones Tratamiento'!$C$22:$C$43</xm:f>
          </x14:formula1>
          <xm:sqref>AK12 AK36:AK71 AK18:AK23</xm:sqref>
        </x14:dataValidation>
        <x14:dataValidation type="list" allowBlank="1" showInputMessage="1" showErrorMessage="1" xr:uid="{00000000-0002-0000-0300-00000B000000}">
          <x14:formula1>
            <xm:f>'Opciones Tratamiento'!$D$22:$D$23</xm:f>
          </x14:formula1>
          <xm:sqref>AN66:AN71</xm:sqref>
        </x14:dataValidation>
        <x14:dataValidation type="list" allowBlank="1" showInputMessage="1" showErrorMessage="1" xr:uid="{00000000-0002-0000-0300-00000C000000}">
          <x14:formula1>
            <xm:f>'Opciones Tratamiento'!$E$22:$E$25</xm:f>
          </x14:formula1>
          <xm:sqref>B12:B71</xm:sqref>
        </x14:dataValidation>
        <x14:dataValidation type="list" allowBlank="1" showInputMessage="1" showErrorMessage="1" xr:uid="{00000000-0002-0000-0300-00000D000000}">
          <x14:formula1>
            <xm:f>'Opciones Tratamiento'!$B$12:$B$20</xm:f>
          </x14:formula1>
          <xm:sqref>K12:K71</xm:sqref>
        </x14:dataValidation>
        <x14:dataValidation type="list" allowBlank="1" showInputMessage="1" showErrorMessage="1" xr:uid="{00000000-0002-0000-0300-00000E000000}">
          <x14:formula1>
            <xm:f>'D:\CESAR\RIESGOS 2023\[FORMATO MAPA DE RIESGOS APOYO DIGSA 2023.xlsx]Tabla Valoración controles'!#REF!</xm:f>
          </x14:formula1>
          <xm:sqref>Z36:AB38 W36:X38</xm:sqref>
        </x14:dataValidation>
        <x14:dataValidation type="list" allowBlank="1" showInputMessage="1" showErrorMessage="1" xr:uid="{00000000-0002-0000-0300-00000F000000}">
          <x14:formula1>
            <xm:f>'D:\CESAR\Riesgos\[FORMATO MAPA DE RIESGOS APOYO DIGSA - AREDO VF.xlsx]Tabla Valoración controles'!#REF!</xm:f>
          </x14:formula1>
          <xm:sqref>W30:X34 Z30:AB34</xm:sqref>
        </x14:dataValidation>
        <x14:dataValidation type="list" allowBlank="1" showInputMessage="1" showErrorMessage="1" xr:uid="{00000000-0002-0000-0300-000010000000}">
          <x14:formula1>
            <xm:f>'D:\CESAR\Riesgos\[FORMATO MAPA DE RIESGOS APOYO DIGSA ASUNTO LEGALES VF.xlsx]Tabla Valoración controles'!#REF!</xm:f>
          </x14:formula1>
          <xm:sqref>W24:X27 Z24:AB27</xm:sqref>
        </x14:dataValidation>
        <x14:dataValidation type="list" allowBlank="1" showInputMessage="1" showErrorMessage="1" xr:uid="{00000000-0002-0000-0300-000011000000}">
          <x14:formula1>
            <xm:f>'D:\CESAR\Riesgos\[FORMATO MAPA DE RIESGOS APOYO DIGSA ASUNTO LEGALES VF.xlsx]Opciones Tratamiento'!#REF!</xm:f>
          </x14:formula1>
          <xm:sqref>AI24:AI27</xm:sqref>
        </x14:dataValidation>
        <x14:dataValidation type="list" allowBlank="1" showInputMessage="1" showErrorMessage="1" xr:uid="{00000000-0002-0000-0300-000012000000}">
          <x14:formula1>
            <xm:f>'C:\Users\julisal\Downloads\[FORMATO MAPA DE RIESGOS APOYO GRUTH NOMBRAMIENTOS 28 oct 2022 (2).xlsx]Tabla Valoración controles'!#REF!</xm:f>
          </x14:formula1>
          <xm:sqref>W18:X22 Z18:AB22</xm:sqref>
        </x14:dataValidation>
        <x14:dataValidation type="list" allowBlank="1" showInputMessage="1" showErrorMessage="1" xr:uid="{00000000-0002-0000-0300-000013000000}">
          <x14:formula1>
            <xm:f>'C:\Users\julisal\Downloads\[FORMATO MAPA DE RIESGOS APOYO GRUTH NOMBRAMIENTOS 28 oct 2022 (2).xlsx]Opciones Tratamiento'!#REF!</xm:f>
          </x14:formula1>
          <xm:sqref>AI19</xm:sqref>
        </x14:dataValidation>
        <x14:dataValidation type="list" allowBlank="1" showInputMessage="1" showErrorMessage="1" xr:uid="{00000000-0002-0000-0300-000014000000}">
          <x14:formula1>
            <xm:f>'D:\CESAR\Riesgos\[FORMATO MAPA DE RIESGOS APOYO DIGSA MISIONALES V1.xlsx]Tabla Valoración controles'!#REF!</xm:f>
          </x14:formula1>
          <xm:sqref>W12:X13 Z12:AB13</xm:sqref>
        </x14:dataValidation>
        <x14:dataValidation type="list" allowBlank="1" showInputMessage="1" showErrorMessage="1" xr:uid="{00000000-0002-0000-0300-000015000000}">
          <x14:formula1>
            <xm:f>'C:\Users\julisal\Downloads\[FORMATO MAPA DE RIESGOS APOYO GRUTH 28 oct 2022 (1).xlsx]Tabla Valoración controles'!#REF!</xm:f>
          </x14:formula1>
          <xm:sqref>W60:X62 Z60:AB62</xm:sqref>
        </x14:dataValidation>
        <x14:dataValidation type="list" allowBlank="1" showInputMessage="1" showErrorMessage="1" xr:uid="{00000000-0002-0000-0300-000016000000}">
          <x14:formula1>
            <xm:f>'D:\RIESGOS 2023\[FORMATO MAPA DE RIESGOS APOYO DIGSA  M1 VF.xlsx]Opciones Tratamiento'!#REF!</xm:f>
          </x14:formula1>
          <xm:sqref>AK30:AK35</xm:sqref>
        </x14:dataValidation>
        <x14:dataValidation type="list" allowBlank="1" showInputMessage="1" showErrorMessage="1" xr:uid="{00000000-0002-0000-0300-000017000000}">
          <x14:formula1>
            <xm:f>'D:\CESAR\RIESGOS 2023\[FORMATO MAPA DE RIESGOS APOYO DIGSA  M1.xlsx]Opciones Tratamiento'!#REF!</xm:f>
          </x14:formula1>
          <xm:sqref>AK24:AK29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zoomScale="50" zoomScaleNormal="50" workbookViewId="0">
      <selection activeCell="B2" sqref="B2:AT51"/>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402" t="s">
        <v>158</v>
      </c>
      <c r="C2" s="402"/>
      <c r="D2" s="402"/>
      <c r="E2" s="402"/>
      <c r="F2" s="402"/>
      <c r="G2" s="402"/>
      <c r="H2" s="402"/>
      <c r="I2" s="402"/>
      <c r="J2" s="439" t="s">
        <v>2</v>
      </c>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402"/>
      <c r="C3" s="402"/>
      <c r="D3" s="402"/>
      <c r="E3" s="402"/>
      <c r="F3" s="402"/>
      <c r="G3" s="402"/>
      <c r="H3" s="402"/>
      <c r="I3" s="402"/>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402"/>
      <c r="C4" s="402"/>
      <c r="D4" s="402"/>
      <c r="E4" s="402"/>
      <c r="F4" s="402"/>
      <c r="G4" s="402"/>
      <c r="H4" s="402"/>
      <c r="I4" s="402"/>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450" t="s">
        <v>4</v>
      </c>
      <c r="C6" s="450"/>
      <c r="D6" s="451"/>
      <c r="E6" s="440" t="s">
        <v>116</v>
      </c>
      <c r="F6" s="441"/>
      <c r="G6" s="441"/>
      <c r="H6" s="441"/>
      <c r="I6" s="442"/>
      <c r="J6" s="436" t="str">
        <f>IF(AND('Mapa final'!$M$12="Muy Alta",'Mapa final'!$Q$12="Leve"),CONCATENATE("R",'Mapa final'!$A$12),"")</f>
        <v/>
      </c>
      <c r="K6" s="437"/>
      <c r="L6" s="437" t="str">
        <f>IF(AND('Mapa final'!$M$18="Muy Alta",'Mapa final'!$Q$18="Leve"),CONCATENATE("R",'Mapa final'!$A$18),"")</f>
        <v/>
      </c>
      <c r="M6" s="437"/>
      <c r="N6" s="437" t="str">
        <f>IF(AND('Mapa final'!$M$24="Muy Alta",'Mapa final'!$Q$24="Leve"),CONCATENATE("R",'Mapa final'!$A$24),"")</f>
        <v/>
      </c>
      <c r="O6" s="438"/>
      <c r="P6" s="436" t="str">
        <f>IF(AND('Mapa final'!$M$12="Muy Alta",'Mapa final'!$Q$12="Menor"),CONCATENATE("R",'Mapa final'!$A$12),"")</f>
        <v/>
      </c>
      <c r="Q6" s="437"/>
      <c r="R6" s="437" t="str">
        <f>IF(AND('Mapa final'!$M$18="Muy Alta",'Mapa final'!$Q$18="Menor"),CONCATENATE("R",'Mapa final'!$A$18),"")</f>
        <v/>
      </c>
      <c r="S6" s="437"/>
      <c r="T6" s="437" t="str">
        <f>IF(AND('Mapa final'!$M$24="Muy Alta",'Mapa final'!$Q$24="Menor"),CONCATENATE("R",'Mapa final'!$A$24),"")</f>
        <v/>
      </c>
      <c r="U6" s="438"/>
      <c r="V6" s="436" t="str">
        <f>IF(AND('Mapa final'!$M$12="Muy Alta",'Mapa final'!$Q$12="Moderado"),CONCATENATE("R",'Mapa final'!$A$12),"")</f>
        <v/>
      </c>
      <c r="W6" s="437"/>
      <c r="X6" s="437" t="str">
        <f>IF(AND('Mapa final'!$M$18="Muy Alta",'Mapa final'!$Q$18="Moderado"),CONCATENATE("R",'Mapa final'!$A$18),"")</f>
        <v/>
      </c>
      <c r="Y6" s="437"/>
      <c r="Z6" s="437" t="str">
        <f>IF(AND('Mapa final'!$M$24="Muy Alta",'Mapa final'!$Q$24="Moderado"),CONCATENATE("R",'Mapa final'!$A$24),"")</f>
        <v/>
      </c>
      <c r="AA6" s="438"/>
      <c r="AB6" s="436" t="str">
        <f>IF(AND('Mapa final'!$M$12="Muy Alta",'Mapa final'!$Q$12="Mayor"),CONCATENATE("R",'Mapa final'!$A$12),"")</f>
        <v/>
      </c>
      <c r="AC6" s="437"/>
      <c r="AD6" s="437" t="str">
        <f>IF(AND('Mapa final'!$M$18="Muy Alta",'Mapa final'!$Q$18="Mayor"),CONCATENATE("R",'Mapa final'!$A$18),"")</f>
        <v/>
      </c>
      <c r="AE6" s="437"/>
      <c r="AF6" s="437" t="str">
        <f>IF(AND('Mapa final'!$M$24="Muy Alta",'Mapa final'!$Q$24="Mayor"),CONCATENATE("R",'Mapa final'!$A$24),"")</f>
        <v/>
      </c>
      <c r="AG6" s="438"/>
      <c r="AH6" s="427" t="str">
        <f>IF(AND('Mapa final'!$M$12="Muy Alta",'Mapa final'!$Q$12="Catastrófico"),CONCATENATE("R",'Mapa final'!$A$12),"")</f>
        <v/>
      </c>
      <c r="AI6" s="428"/>
      <c r="AJ6" s="428" t="str">
        <f>IF(AND('Mapa final'!$M$18="Muy Alta",'Mapa final'!$Q$18="Catastrófico"),CONCATENATE("R",'Mapa final'!$A$18),"")</f>
        <v/>
      </c>
      <c r="AK6" s="428"/>
      <c r="AL6" s="428" t="str">
        <f>IF(AND('Mapa final'!$M$24="Muy Alta",'Mapa final'!$Q$24="Catastrófico"),CONCATENATE("R",'Mapa final'!$A$24),"")</f>
        <v/>
      </c>
      <c r="AM6" s="429"/>
      <c r="AO6" s="452" t="s">
        <v>79</v>
      </c>
      <c r="AP6" s="453"/>
      <c r="AQ6" s="453"/>
      <c r="AR6" s="453"/>
      <c r="AS6" s="453"/>
      <c r="AT6" s="454"/>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450"/>
      <c r="C7" s="450"/>
      <c r="D7" s="451"/>
      <c r="E7" s="443"/>
      <c r="F7" s="444"/>
      <c r="G7" s="444"/>
      <c r="H7" s="444"/>
      <c r="I7" s="445"/>
      <c r="J7" s="430"/>
      <c r="K7" s="431"/>
      <c r="L7" s="431"/>
      <c r="M7" s="431"/>
      <c r="N7" s="431"/>
      <c r="O7" s="432"/>
      <c r="P7" s="430"/>
      <c r="Q7" s="431"/>
      <c r="R7" s="431"/>
      <c r="S7" s="431"/>
      <c r="T7" s="431"/>
      <c r="U7" s="432"/>
      <c r="V7" s="430"/>
      <c r="W7" s="431"/>
      <c r="X7" s="431"/>
      <c r="Y7" s="431"/>
      <c r="Z7" s="431"/>
      <c r="AA7" s="432"/>
      <c r="AB7" s="430"/>
      <c r="AC7" s="431"/>
      <c r="AD7" s="431"/>
      <c r="AE7" s="431"/>
      <c r="AF7" s="431"/>
      <c r="AG7" s="432"/>
      <c r="AH7" s="421"/>
      <c r="AI7" s="422"/>
      <c r="AJ7" s="422"/>
      <c r="AK7" s="422"/>
      <c r="AL7" s="422"/>
      <c r="AM7" s="423"/>
      <c r="AN7" s="69"/>
      <c r="AO7" s="455"/>
      <c r="AP7" s="456"/>
      <c r="AQ7" s="456"/>
      <c r="AR7" s="456"/>
      <c r="AS7" s="456"/>
      <c r="AT7" s="457"/>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450"/>
      <c r="C8" s="450"/>
      <c r="D8" s="451"/>
      <c r="E8" s="443"/>
      <c r="F8" s="444"/>
      <c r="G8" s="444"/>
      <c r="H8" s="444"/>
      <c r="I8" s="445"/>
      <c r="J8" s="430" t="str">
        <f>IF(AND('Mapa final'!$M$30="Muy Alta",'Mapa final'!$Q$30="Leve"),CONCATENATE("R",'Mapa final'!$A$30),"")</f>
        <v/>
      </c>
      <c r="K8" s="431"/>
      <c r="L8" s="431" t="str">
        <f>IF(AND('Mapa final'!$M$36="Muy Alta",'Mapa final'!$Q$36="Leve"),CONCATENATE("R",'Mapa final'!$A$36),"")</f>
        <v/>
      </c>
      <c r="M8" s="431"/>
      <c r="N8" s="431" t="str">
        <f>IF(AND('Mapa final'!$M$42="Muy Alta",'Mapa final'!$Q$42="Leve"),CONCATENATE("R",'Mapa final'!$A$42),"")</f>
        <v/>
      </c>
      <c r="O8" s="432"/>
      <c r="P8" s="430" t="str">
        <f>IF(AND('Mapa final'!$M$30="Muy Alta",'Mapa final'!$Q$30="Menor"),CONCATENATE("R",'Mapa final'!$A$30),"")</f>
        <v/>
      </c>
      <c r="Q8" s="431"/>
      <c r="R8" s="431" t="str">
        <f>IF(AND('Mapa final'!$M$36="Muy Alta",'Mapa final'!$Q$36="Menor"),CONCATENATE("R",'Mapa final'!$A$36),"")</f>
        <v/>
      </c>
      <c r="S8" s="431"/>
      <c r="T8" s="431" t="str">
        <f>IF(AND('Mapa final'!$M$42="Muy Alta",'Mapa final'!$Q$42="Menor"),CONCATENATE("R",'Mapa final'!$A$42),"")</f>
        <v/>
      </c>
      <c r="U8" s="432"/>
      <c r="V8" s="430" t="str">
        <f>IF(AND('Mapa final'!$M$30="Muy Alta",'Mapa final'!$Q$30="Moderado"),CONCATENATE("R",'Mapa final'!$A$30),"")</f>
        <v/>
      </c>
      <c r="W8" s="431"/>
      <c r="X8" s="431" t="str">
        <f>IF(AND('Mapa final'!$M$36="Muy Alta",'Mapa final'!$Q$36="Moderado"),CONCATENATE("R",'Mapa final'!$A$36),"")</f>
        <v/>
      </c>
      <c r="Y8" s="431"/>
      <c r="Z8" s="431" t="str">
        <f>IF(AND('Mapa final'!$M$42="Muy Alta",'Mapa final'!$Q$42="Moderado"),CONCATENATE("R",'Mapa final'!$A$42),"")</f>
        <v/>
      </c>
      <c r="AA8" s="432"/>
      <c r="AB8" s="430" t="str">
        <f>IF(AND('Mapa final'!$M$30="Muy Alta",'Mapa final'!$Q$30="Mayor"),CONCATENATE("R",'Mapa final'!$A$30),"")</f>
        <v/>
      </c>
      <c r="AC8" s="431"/>
      <c r="AD8" s="431" t="str">
        <f>IF(AND('Mapa final'!$M$36="Muy Alta",'Mapa final'!$Q$36="Mayor"),CONCATENATE("R",'Mapa final'!$A$36),"")</f>
        <v/>
      </c>
      <c r="AE8" s="431"/>
      <c r="AF8" s="431" t="str">
        <f>IF(AND('Mapa final'!$M$42="Muy Alta",'Mapa final'!$Q$42="Mayor"),CONCATENATE("R",'Mapa final'!$A$42),"")</f>
        <v/>
      </c>
      <c r="AG8" s="432"/>
      <c r="AH8" s="421" t="str">
        <f>IF(AND('Mapa final'!$M$30="Muy Alta",'Mapa final'!$Q$30="Catastrófico"),CONCATENATE("R",'Mapa final'!$A$30),"")</f>
        <v/>
      </c>
      <c r="AI8" s="422"/>
      <c r="AJ8" s="422" t="str">
        <f>IF(AND('Mapa final'!$M$36="Muy Alta",'Mapa final'!$Q$36="Catastrófico"),CONCATENATE("R",'Mapa final'!$A$36),"")</f>
        <v/>
      </c>
      <c r="AK8" s="422"/>
      <c r="AL8" s="422" t="str">
        <f>IF(AND('Mapa final'!$M$42="Muy Alta",'Mapa final'!$Q$42="Catastrófico"),CONCATENATE("R",'Mapa final'!$A$42),"")</f>
        <v/>
      </c>
      <c r="AM8" s="423"/>
      <c r="AN8" s="69"/>
      <c r="AO8" s="455"/>
      <c r="AP8" s="456"/>
      <c r="AQ8" s="456"/>
      <c r="AR8" s="456"/>
      <c r="AS8" s="456"/>
      <c r="AT8" s="457"/>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450"/>
      <c r="C9" s="450"/>
      <c r="D9" s="451"/>
      <c r="E9" s="443"/>
      <c r="F9" s="444"/>
      <c r="G9" s="444"/>
      <c r="H9" s="444"/>
      <c r="I9" s="445"/>
      <c r="J9" s="430"/>
      <c r="K9" s="431"/>
      <c r="L9" s="431"/>
      <c r="M9" s="431"/>
      <c r="N9" s="431"/>
      <c r="O9" s="432"/>
      <c r="P9" s="430"/>
      <c r="Q9" s="431"/>
      <c r="R9" s="431"/>
      <c r="S9" s="431"/>
      <c r="T9" s="431"/>
      <c r="U9" s="432"/>
      <c r="V9" s="430"/>
      <c r="W9" s="431"/>
      <c r="X9" s="431"/>
      <c r="Y9" s="431"/>
      <c r="Z9" s="431"/>
      <c r="AA9" s="432"/>
      <c r="AB9" s="430"/>
      <c r="AC9" s="431"/>
      <c r="AD9" s="431"/>
      <c r="AE9" s="431"/>
      <c r="AF9" s="431"/>
      <c r="AG9" s="432"/>
      <c r="AH9" s="421"/>
      <c r="AI9" s="422"/>
      <c r="AJ9" s="422"/>
      <c r="AK9" s="422"/>
      <c r="AL9" s="422"/>
      <c r="AM9" s="423"/>
      <c r="AN9" s="69"/>
      <c r="AO9" s="455"/>
      <c r="AP9" s="456"/>
      <c r="AQ9" s="456"/>
      <c r="AR9" s="456"/>
      <c r="AS9" s="456"/>
      <c r="AT9" s="457"/>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450"/>
      <c r="C10" s="450"/>
      <c r="D10" s="451"/>
      <c r="E10" s="443"/>
      <c r="F10" s="444"/>
      <c r="G10" s="444"/>
      <c r="H10" s="444"/>
      <c r="I10" s="445"/>
      <c r="J10" s="430" t="str">
        <f>IF(AND('Mapa final'!$M$48="Muy Alta",'Mapa final'!$Q$48="Leve"),CONCATENATE("R",'Mapa final'!$A$48),"")</f>
        <v/>
      </c>
      <c r="K10" s="431"/>
      <c r="L10" s="431" t="str">
        <f>IF(AND('Mapa final'!$M$54="Muy Alta",'Mapa final'!$Q$54="Leve"),CONCATENATE("R",'Mapa final'!$A$54),"")</f>
        <v/>
      </c>
      <c r="M10" s="431"/>
      <c r="N10" s="431" t="str">
        <f>IF(AND('Mapa final'!$M$60="Muy Alta",'Mapa final'!$Q$60="Leve"),CONCATENATE("R",'Mapa final'!$A$60),"")</f>
        <v/>
      </c>
      <c r="O10" s="432"/>
      <c r="P10" s="430" t="str">
        <f>IF(AND('Mapa final'!$M$48="Muy Alta",'Mapa final'!$Q$48="Menor"),CONCATENATE("R",'Mapa final'!$A$48),"")</f>
        <v/>
      </c>
      <c r="Q10" s="431"/>
      <c r="R10" s="431" t="str">
        <f>IF(AND('Mapa final'!$M$54="Muy Alta",'Mapa final'!$Q$54="Menor"),CONCATENATE("R",'Mapa final'!$A$54),"")</f>
        <v/>
      </c>
      <c r="S10" s="431"/>
      <c r="T10" s="431" t="str">
        <f>IF(AND('Mapa final'!$M$60="Muy Alta",'Mapa final'!$Q$60="Menor"),CONCATENATE("R",'Mapa final'!$A$60),"")</f>
        <v/>
      </c>
      <c r="U10" s="432"/>
      <c r="V10" s="430" t="str">
        <f>IF(AND('Mapa final'!$M$48="Muy Alta",'Mapa final'!$Q$48="Moderado"),CONCATENATE("R",'Mapa final'!$A$48),"")</f>
        <v/>
      </c>
      <c r="W10" s="431"/>
      <c r="X10" s="431" t="str">
        <f>IF(AND('Mapa final'!$M$54="Muy Alta",'Mapa final'!$Q$54="Moderado"),CONCATENATE("R",'Mapa final'!$A$54),"")</f>
        <v/>
      </c>
      <c r="Y10" s="431"/>
      <c r="Z10" s="431" t="str">
        <f>IF(AND('Mapa final'!$M$60="Muy Alta",'Mapa final'!$Q$60="Moderado"),CONCATENATE("R",'Mapa final'!$A$60),"")</f>
        <v/>
      </c>
      <c r="AA10" s="432"/>
      <c r="AB10" s="430" t="str">
        <f>IF(AND('Mapa final'!$M$48="Muy Alta",'Mapa final'!$Q$48="Mayor"),CONCATENATE("R",'Mapa final'!$A$48),"")</f>
        <v/>
      </c>
      <c r="AC10" s="431"/>
      <c r="AD10" s="431" t="str">
        <f>IF(AND('Mapa final'!$M$54="Muy Alta",'Mapa final'!$Q$54="Mayor"),CONCATENATE("R",'Mapa final'!$A$54),"")</f>
        <v/>
      </c>
      <c r="AE10" s="431"/>
      <c r="AF10" s="431" t="str">
        <f>IF(AND('Mapa final'!$M$60="Muy Alta",'Mapa final'!$Q$60="Mayor"),CONCATENATE("R",'Mapa final'!$A$60),"")</f>
        <v/>
      </c>
      <c r="AG10" s="432"/>
      <c r="AH10" s="421" t="str">
        <f>IF(AND('Mapa final'!$M$48="Muy Alta",'Mapa final'!$Q$48="Catastrófico"),CONCATENATE("R",'Mapa final'!$A$48),"")</f>
        <v/>
      </c>
      <c r="AI10" s="422"/>
      <c r="AJ10" s="422" t="str">
        <f>IF(AND('Mapa final'!$M$54="Muy Alta",'Mapa final'!$Q$54="Catastrófico"),CONCATENATE("R",'Mapa final'!$A$54),"")</f>
        <v/>
      </c>
      <c r="AK10" s="422"/>
      <c r="AL10" s="422" t="str">
        <f>IF(AND('Mapa final'!$M$60="Muy Alta",'Mapa final'!$Q$60="Catastrófico"),CONCATENATE("R",'Mapa final'!$A$60),"")</f>
        <v/>
      </c>
      <c r="AM10" s="423"/>
      <c r="AN10" s="69"/>
      <c r="AO10" s="455"/>
      <c r="AP10" s="456"/>
      <c r="AQ10" s="456"/>
      <c r="AR10" s="456"/>
      <c r="AS10" s="456"/>
      <c r="AT10" s="457"/>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450"/>
      <c r="C11" s="450"/>
      <c r="D11" s="451"/>
      <c r="E11" s="443"/>
      <c r="F11" s="444"/>
      <c r="G11" s="444"/>
      <c r="H11" s="444"/>
      <c r="I11" s="445"/>
      <c r="J11" s="430"/>
      <c r="K11" s="431"/>
      <c r="L11" s="431"/>
      <c r="M11" s="431"/>
      <c r="N11" s="431"/>
      <c r="O11" s="432"/>
      <c r="P11" s="430"/>
      <c r="Q11" s="431"/>
      <c r="R11" s="431"/>
      <c r="S11" s="431"/>
      <c r="T11" s="431"/>
      <c r="U11" s="432"/>
      <c r="V11" s="430"/>
      <c r="W11" s="431"/>
      <c r="X11" s="431"/>
      <c r="Y11" s="431"/>
      <c r="Z11" s="431"/>
      <c r="AA11" s="432"/>
      <c r="AB11" s="430"/>
      <c r="AC11" s="431"/>
      <c r="AD11" s="431"/>
      <c r="AE11" s="431"/>
      <c r="AF11" s="431"/>
      <c r="AG11" s="432"/>
      <c r="AH11" s="421"/>
      <c r="AI11" s="422"/>
      <c r="AJ11" s="422"/>
      <c r="AK11" s="422"/>
      <c r="AL11" s="422"/>
      <c r="AM11" s="423"/>
      <c r="AN11" s="69"/>
      <c r="AO11" s="455"/>
      <c r="AP11" s="456"/>
      <c r="AQ11" s="456"/>
      <c r="AR11" s="456"/>
      <c r="AS11" s="456"/>
      <c r="AT11" s="457"/>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450"/>
      <c r="C12" s="450"/>
      <c r="D12" s="451"/>
      <c r="E12" s="443"/>
      <c r="F12" s="444"/>
      <c r="G12" s="444"/>
      <c r="H12" s="444"/>
      <c r="I12" s="445"/>
      <c r="J12" s="430" t="str">
        <f>IF(AND('Mapa final'!$M$66="Muy Alta",'Mapa final'!$Q$66="Leve"),CONCATENATE("R",'Mapa final'!$A$66),"")</f>
        <v/>
      </c>
      <c r="K12" s="431"/>
      <c r="L12" s="431" t="str">
        <f>IF(AND('Mapa final'!$M$72="Muy Alta",'Mapa final'!$Q$72="Leve"),CONCATENATE("R",'Mapa final'!$A$72),"")</f>
        <v/>
      </c>
      <c r="M12" s="431"/>
      <c r="N12" s="431" t="str">
        <f>IF(AND('Mapa final'!$M$78="Muy Alta",'Mapa final'!$Q$78="Leve"),CONCATENATE("R",'Mapa final'!$A$78),"")</f>
        <v/>
      </c>
      <c r="O12" s="432"/>
      <c r="P12" s="430" t="str">
        <f>IF(AND('Mapa final'!$M$66="Muy Alta",'Mapa final'!$Q$66="Menor"),CONCATENATE("R",'Mapa final'!$A$66),"")</f>
        <v/>
      </c>
      <c r="Q12" s="431"/>
      <c r="R12" s="431" t="str">
        <f>IF(AND('Mapa final'!$M$72="Muy Alta",'Mapa final'!$Q$72="Menor"),CONCATENATE("R",'Mapa final'!$A$72),"")</f>
        <v/>
      </c>
      <c r="S12" s="431"/>
      <c r="T12" s="431" t="str">
        <f>IF(AND('Mapa final'!$M$78="Muy Alta",'Mapa final'!$Q$78="Menor"),CONCATENATE("R",'Mapa final'!$A$78),"")</f>
        <v/>
      </c>
      <c r="U12" s="432"/>
      <c r="V12" s="430" t="str">
        <f>IF(AND('Mapa final'!$M$66="Muy Alta",'Mapa final'!$Q$66="Moderado"),CONCATENATE("R",'Mapa final'!$A$66),"")</f>
        <v/>
      </c>
      <c r="W12" s="431"/>
      <c r="X12" s="431" t="str">
        <f>IF(AND('Mapa final'!$M$72="Muy Alta",'Mapa final'!$Q$72="Moderado"),CONCATENATE("R",'Mapa final'!$A$72),"")</f>
        <v/>
      </c>
      <c r="Y12" s="431"/>
      <c r="Z12" s="431" t="str">
        <f>IF(AND('Mapa final'!$M$78="Muy Alta",'Mapa final'!$Q$78="Moderado"),CONCATENATE("R",'Mapa final'!$A$78),"")</f>
        <v/>
      </c>
      <c r="AA12" s="432"/>
      <c r="AB12" s="430" t="str">
        <f>IF(AND('Mapa final'!$M$66="Muy Alta",'Mapa final'!$Q$66="Mayor"),CONCATENATE("R",'Mapa final'!$A$66),"")</f>
        <v/>
      </c>
      <c r="AC12" s="431"/>
      <c r="AD12" s="431" t="str">
        <f>IF(AND('Mapa final'!$M$72="Muy Alta",'Mapa final'!$Q$72="Mayor"),CONCATENATE("R",'Mapa final'!$A$72),"")</f>
        <v/>
      </c>
      <c r="AE12" s="431"/>
      <c r="AF12" s="431" t="str">
        <f>IF(AND('Mapa final'!$M$78="Muy Alta",'Mapa final'!$Q$78="Mayor"),CONCATENATE("R",'Mapa final'!$A$78),"")</f>
        <v/>
      </c>
      <c r="AG12" s="432"/>
      <c r="AH12" s="421" t="str">
        <f>IF(AND('Mapa final'!$M$66="Muy Alta",'Mapa final'!$Q$66="Catastrófico"),CONCATENATE("R",'Mapa final'!$A$66),"")</f>
        <v/>
      </c>
      <c r="AI12" s="422"/>
      <c r="AJ12" s="422" t="str">
        <f>IF(AND('Mapa final'!$M$72="Muy Alta",'Mapa final'!$Q$72="Catastrófico"),CONCATENATE("R",'Mapa final'!$A$72),"")</f>
        <v/>
      </c>
      <c r="AK12" s="422"/>
      <c r="AL12" s="422" t="str">
        <f>IF(AND('Mapa final'!$M$78="Muy Alta",'Mapa final'!$Q$78="Catastrófico"),CONCATENATE("R",'Mapa final'!$A$78),"")</f>
        <v/>
      </c>
      <c r="AM12" s="423"/>
      <c r="AN12" s="69"/>
      <c r="AO12" s="455"/>
      <c r="AP12" s="456"/>
      <c r="AQ12" s="456"/>
      <c r="AR12" s="456"/>
      <c r="AS12" s="456"/>
      <c r="AT12" s="457"/>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450"/>
      <c r="C13" s="450"/>
      <c r="D13" s="451"/>
      <c r="E13" s="446"/>
      <c r="F13" s="447"/>
      <c r="G13" s="447"/>
      <c r="H13" s="447"/>
      <c r="I13" s="448"/>
      <c r="J13" s="430"/>
      <c r="K13" s="431"/>
      <c r="L13" s="431"/>
      <c r="M13" s="431"/>
      <c r="N13" s="431"/>
      <c r="O13" s="432"/>
      <c r="P13" s="430"/>
      <c r="Q13" s="431"/>
      <c r="R13" s="431"/>
      <c r="S13" s="431"/>
      <c r="T13" s="431"/>
      <c r="U13" s="432"/>
      <c r="V13" s="430"/>
      <c r="W13" s="431"/>
      <c r="X13" s="431"/>
      <c r="Y13" s="431"/>
      <c r="Z13" s="431"/>
      <c r="AA13" s="432"/>
      <c r="AB13" s="430"/>
      <c r="AC13" s="431"/>
      <c r="AD13" s="431"/>
      <c r="AE13" s="431"/>
      <c r="AF13" s="431"/>
      <c r="AG13" s="432"/>
      <c r="AH13" s="424"/>
      <c r="AI13" s="425"/>
      <c r="AJ13" s="425"/>
      <c r="AK13" s="425"/>
      <c r="AL13" s="425"/>
      <c r="AM13" s="426"/>
      <c r="AN13" s="69"/>
      <c r="AO13" s="458"/>
      <c r="AP13" s="459"/>
      <c r="AQ13" s="459"/>
      <c r="AR13" s="459"/>
      <c r="AS13" s="459"/>
      <c r="AT13" s="460"/>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450"/>
      <c r="C14" s="450"/>
      <c r="D14" s="451"/>
      <c r="E14" s="440" t="s">
        <v>115</v>
      </c>
      <c r="F14" s="441"/>
      <c r="G14" s="441"/>
      <c r="H14" s="441"/>
      <c r="I14" s="441"/>
      <c r="J14" s="418" t="str">
        <f>IF(AND('Mapa final'!$M$12="Alta",'Mapa final'!$Q$12="Leve"),CONCATENATE("R",'Mapa final'!$A$12),"")</f>
        <v/>
      </c>
      <c r="K14" s="419"/>
      <c r="L14" s="419" t="str">
        <f>IF(AND('Mapa final'!$M$18="Alta",'Mapa final'!$Q$18="Leve"),CONCATENATE("R",'Mapa final'!$A$18),"")</f>
        <v/>
      </c>
      <c r="M14" s="419"/>
      <c r="N14" s="419" t="str">
        <f>IF(AND('Mapa final'!$M$24="Alta",'Mapa final'!$Q$24="Leve"),CONCATENATE("R",'Mapa final'!$A$24),"")</f>
        <v/>
      </c>
      <c r="O14" s="420"/>
      <c r="P14" s="418" t="str">
        <f>IF(AND('Mapa final'!$M$12="Alta",'Mapa final'!$Q$12="Menor"),CONCATENATE("R",'Mapa final'!$A$12),"")</f>
        <v/>
      </c>
      <c r="Q14" s="419"/>
      <c r="R14" s="419" t="str">
        <f>IF(AND('Mapa final'!$M$18="Alta",'Mapa final'!$Q$18="Menor"),CONCATENATE("R",'Mapa final'!$A$18),"")</f>
        <v/>
      </c>
      <c r="S14" s="419"/>
      <c r="T14" s="419" t="str">
        <f>IF(AND('Mapa final'!$M$24="Alta",'Mapa final'!$Q$24="Menor"),CONCATENATE("R",'Mapa final'!$A$24),"")</f>
        <v/>
      </c>
      <c r="U14" s="420"/>
      <c r="V14" s="436" t="str">
        <f>IF(AND('Mapa final'!$M$12="Alta",'Mapa final'!$Q$12="Moderado"),CONCATENATE("R",'Mapa final'!$A$12),"")</f>
        <v/>
      </c>
      <c r="W14" s="437"/>
      <c r="X14" s="437" t="str">
        <f>IF(AND('Mapa final'!$M$18="Alta",'Mapa final'!$Q$18="Moderado"),CONCATENATE("R",'Mapa final'!$A$18),"")</f>
        <v/>
      </c>
      <c r="Y14" s="437"/>
      <c r="Z14" s="437" t="str">
        <f>IF(AND('Mapa final'!$M$24="Alta",'Mapa final'!$Q$24="Moderado"),CONCATENATE("R",'Mapa final'!$A$24),"")</f>
        <v/>
      </c>
      <c r="AA14" s="438"/>
      <c r="AB14" s="436" t="str">
        <f>IF(AND('Mapa final'!$M$12="Alta",'Mapa final'!$Q$12="Mayor"),CONCATENATE("R",'Mapa final'!$A$12),"")</f>
        <v/>
      </c>
      <c r="AC14" s="437"/>
      <c r="AD14" s="437" t="str">
        <f>IF(AND('Mapa final'!$M$18="Alta",'Mapa final'!$Q$18="Mayor"),CONCATENATE("R",'Mapa final'!$A$18),"")</f>
        <v/>
      </c>
      <c r="AE14" s="437"/>
      <c r="AF14" s="437" t="str">
        <f>IF(AND('Mapa final'!$M$24="Alta",'Mapa final'!$Q$24="Mayor"),CONCATENATE("R",'Mapa final'!$A$24),"")</f>
        <v/>
      </c>
      <c r="AG14" s="438"/>
      <c r="AH14" s="427" t="str">
        <f>IF(AND('Mapa final'!$M$12="Alta",'Mapa final'!$Q$12="Catastrófico"),CONCATENATE("R",'Mapa final'!$A$12),"")</f>
        <v/>
      </c>
      <c r="AI14" s="428"/>
      <c r="AJ14" s="428" t="str">
        <f>IF(AND('Mapa final'!$M$18="Alta",'Mapa final'!$Q$18="Catastrófico"),CONCATENATE("R",'Mapa final'!$A$18),"")</f>
        <v/>
      </c>
      <c r="AK14" s="428"/>
      <c r="AL14" s="428" t="str">
        <f>IF(AND('Mapa final'!$M$24="Alta",'Mapa final'!$Q$24="Catastrófico"),CONCATENATE("R",'Mapa final'!$A$24),"")</f>
        <v>RR3</v>
      </c>
      <c r="AM14" s="429"/>
      <c r="AN14" s="69"/>
      <c r="AO14" s="461" t="s">
        <v>80</v>
      </c>
      <c r="AP14" s="462"/>
      <c r="AQ14" s="462"/>
      <c r="AR14" s="462"/>
      <c r="AS14" s="462"/>
      <c r="AT14" s="463"/>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450"/>
      <c r="C15" s="450"/>
      <c r="D15" s="451"/>
      <c r="E15" s="443"/>
      <c r="F15" s="444"/>
      <c r="G15" s="444"/>
      <c r="H15" s="444"/>
      <c r="I15" s="444"/>
      <c r="J15" s="412"/>
      <c r="K15" s="413"/>
      <c r="L15" s="413"/>
      <c r="M15" s="413"/>
      <c r="N15" s="413"/>
      <c r="O15" s="414"/>
      <c r="P15" s="412"/>
      <c r="Q15" s="413"/>
      <c r="R15" s="413"/>
      <c r="S15" s="413"/>
      <c r="T15" s="413"/>
      <c r="U15" s="414"/>
      <c r="V15" s="430"/>
      <c r="W15" s="431"/>
      <c r="X15" s="431"/>
      <c r="Y15" s="431"/>
      <c r="Z15" s="431"/>
      <c r="AA15" s="432"/>
      <c r="AB15" s="430"/>
      <c r="AC15" s="431"/>
      <c r="AD15" s="431"/>
      <c r="AE15" s="431"/>
      <c r="AF15" s="431"/>
      <c r="AG15" s="432"/>
      <c r="AH15" s="421"/>
      <c r="AI15" s="422"/>
      <c r="AJ15" s="422"/>
      <c r="AK15" s="422"/>
      <c r="AL15" s="422"/>
      <c r="AM15" s="423"/>
      <c r="AN15" s="69"/>
      <c r="AO15" s="464"/>
      <c r="AP15" s="465"/>
      <c r="AQ15" s="465"/>
      <c r="AR15" s="465"/>
      <c r="AS15" s="465"/>
      <c r="AT15" s="466"/>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450"/>
      <c r="C16" s="450"/>
      <c r="D16" s="451"/>
      <c r="E16" s="443"/>
      <c r="F16" s="444"/>
      <c r="G16" s="444"/>
      <c r="H16" s="444"/>
      <c r="I16" s="444"/>
      <c r="J16" s="412" t="str">
        <f>IF(AND('Mapa final'!$M$30="Alta",'Mapa final'!$Q$30="Leve"),CONCATENATE("R",'Mapa final'!$A$30),"")</f>
        <v/>
      </c>
      <c r="K16" s="413"/>
      <c r="L16" s="413" t="str">
        <f>IF(AND('Mapa final'!$M$36="Alta",'Mapa final'!$Q$36="Leve"),CONCATENATE("R",'Mapa final'!$A$36),"")</f>
        <v/>
      </c>
      <c r="M16" s="413"/>
      <c r="N16" s="413" t="str">
        <f>IF(AND('Mapa final'!$M$42="Alta",'Mapa final'!$Q$42="Leve"),CONCATENATE("R",'Mapa final'!$A$42),"")</f>
        <v/>
      </c>
      <c r="O16" s="414"/>
      <c r="P16" s="412" t="str">
        <f>IF(AND('Mapa final'!$M$30="Alta",'Mapa final'!$Q$30="Menor"),CONCATENATE("R",'Mapa final'!$A$30),"")</f>
        <v/>
      </c>
      <c r="Q16" s="413"/>
      <c r="R16" s="413" t="str">
        <f>IF(AND('Mapa final'!$M$36="Alta",'Mapa final'!$Q$36="Menor"),CONCATENATE("R",'Mapa final'!$A$36),"")</f>
        <v/>
      </c>
      <c r="S16" s="413"/>
      <c r="T16" s="413" t="str">
        <f>IF(AND('Mapa final'!$M$42="Alta",'Mapa final'!$Q$42="Menor"),CONCATENATE("R",'Mapa final'!$A$42),"")</f>
        <v/>
      </c>
      <c r="U16" s="414"/>
      <c r="V16" s="430" t="str">
        <f>IF(AND('Mapa final'!$M$30="Alta",'Mapa final'!$Q$30="Moderado"),CONCATENATE("R",'Mapa final'!$A$30),"")</f>
        <v/>
      </c>
      <c r="W16" s="431"/>
      <c r="X16" s="431" t="str">
        <f>IF(AND('Mapa final'!$M$36="Alta",'Mapa final'!$Q$36="Moderado"),CONCATENATE("R",'Mapa final'!$A$36),"")</f>
        <v/>
      </c>
      <c r="Y16" s="431"/>
      <c r="Z16" s="431" t="str">
        <f>IF(AND('Mapa final'!$M$42="Alta",'Mapa final'!$Q$42="Moderado"),CONCATENATE("R",'Mapa final'!$A$42),"")</f>
        <v/>
      </c>
      <c r="AA16" s="432"/>
      <c r="AB16" s="430" t="str">
        <f>IF(AND('Mapa final'!$M$30="Alta",'Mapa final'!$Q$30="Mayor"),CONCATENATE("R",'Mapa final'!$A$30),"")</f>
        <v/>
      </c>
      <c r="AC16" s="431"/>
      <c r="AD16" s="431" t="str">
        <f>IF(AND('Mapa final'!$M$36="Alta",'Mapa final'!$Q$36="Mayor"),CONCATENATE("R",'Mapa final'!$A$36),"")</f>
        <v xml:space="preserve">R </v>
      </c>
      <c r="AE16" s="431"/>
      <c r="AF16" s="431" t="str">
        <f>IF(AND('Mapa final'!$M$42="Alta",'Mapa final'!$Q$42="Mayor"),CONCATENATE("R",'Mapa final'!$A$42),"")</f>
        <v/>
      </c>
      <c r="AG16" s="432"/>
      <c r="AH16" s="421" t="str">
        <f>IF(AND('Mapa final'!$M$30="Alta",'Mapa final'!$Q$30="Catastrófico"),CONCATENATE("R",'Mapa final'!$A$30),"")</f>
        <v/>
      </c>
      <c r="AI16" s="422"/>
      <c r="AJ16" s="422" t="str">
        <f>IF(AND('Mapa final'!$M$36="Alta",'Mapa final'!$Q$36="Catastrófico"),CONCATENATE("R",'Mapa final'!$A$36),"")</f>
        <v/>
      </c>
      <c r="AK16" s="422"/>
      <c r="AL16" s="422" t="str">
        <f>IF(AND('Mapa final'!$M$42="Alta",'Mapa final'!$Q$42="Catastrófico"),CONCATENATE("R",'Mapa final'!$A$42),"")</f>
        <v>RR6</v>
      </c>
      <c r="AM16" s="423"/>
      <c r="AN16" s="69"/>
      <c r="AO16" s="464"/>
      <c r="AP16" s="465"/>
      <c r="AQ16" s="465"/>
      <c r="AR16" s="465"/>
      <c r="AS16" s="465"/>
      <c r="AT16" s="466"/>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450"/>
      <c r="C17" s="450"/>
      <c r="D17" s="451"/>
      <c r="E17" s="443"/>
      <c r="F17" s="444"/>
      <c r="G17" s="444"/>
      <c r="H17" s="444"/>
      <c r="I17" s="444"/>
      <c r="J17" s="412"/>
      <c r="K17" s="413"/>
      <c r="L17" s="413"/>
      <c r="M17" s="413"/>
      <c r="N17" s="413"/>
      <c r="O17" s="414"/>
      <c r="P17" s="412"/>
      <c r="Q17" s="413"/>
      <c r="R17" s="413"/>
      <c r="S17" s="413"/>
      <c r="T17" s="413"/>
      <c r="U17" s="414"/>
      <c r="V17" s="430"/>
      <c r="W17" s="431"/>
      <c r="X17" s="431"/>
      <c r="Y17" s="431"/>
      <c r="Z17" s="431"/>
      <c r="AA17" s="432"/>
      <c r="AB17" s="430"/>
      <c r="AC17" s="431"/>
      <c r="AD17" s="431"/>
      <c r="AE17" s="431"/>
      <c r="AF17" s="431"/>
      <c r="AG17" s="432"/>
      <c r="AH17" s="421"/>
      <c r="AI17" s="422"/>
      <c r="AJ17" s="422"/>
      <c r="AK17" s="422"/>
      <c r="AL17" s="422"/>
      <c r="AM17" s="423"/>
      <c r="AN17" s="69"/>
      <c r="AO17" s="464"/>
      <c r="AP17" s="465"/>
      <c r="AQ17" s="465"/>
      <c r="AR17" s="465"/>
      <c r="AS17" s="465"/>
      <c r="AT17" s="466"/>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450"/>
      <c r="C18" s="450"/>
      <c r="D18" s="451"/>
      <c r="E18" s="443"/>
      <c r="F18" s="444"/>
      <c r="G18" s="444"/>
      <c r="H18" s="444"/>
      <c r="I18" s="444"/>
      <c r="J18" s="412" t="str">
        <f>IF(AND('Mapa final'!$M$48="Alta",'Mapa final'!$Q$48="Leve"),CONCATENATE("R",'Mapa final'!$A$48),"")</f>
        <v/>
      </c>
      <c r="K18" s="413"/>
      <c r="L18" s="413" t="str">
        <f>IF(AND('Mapa final'!$M$54="Alta",'Mapa final'!$Q$54="Leve"),CONCATENATE("R",'Mapa final'!$A$54),"")</f>
        <v/>
      </c>
      <c r="M18" s="413"/>
      <c r="N18" s="413" t="str">
        <f>IF(AND('Mapa final'!$M$60="Alta",'Mapa final'!$Q$60="Leve"),CONCATENATE("R",'Mapa final'!$A$60),"")</f>
        <v/>
      </c>
      <c r="O18" s="414"/>
      <c r="P18" s="412" t="str">
        <f>IF(AND('Mapa final'!$M$48="Alta",'Mapa final'!$Q$48="Menor"),CONCATENATE("R",'Mapa final'!$A$48),"")</f>
        <v/>
      </c>
      <c r="Q18" s="413"/>
      <c r="R18" s="413" t="str">
        <f>IF(AND('Mapa final'!$M$54="Alta",'Mapa final'!$Q$54="Menor"),CONCATENATE("R",'Mapa final'!$A$54),"")</f>
        <v/>
      </c>
      <c r="S18" s="413"/>
      <c r="T18" s="413" t="str">
        <f>IF(AND('Mapa final'!$M$60="Alta",'Mapa final'!$Q$60="Menor"),CONCATENATE("R",'Mapa final'!$A$60),"")</f>
        <v/>
      </c>
      <c r="U18" s="414"/>
      <c r="V18" s="430" t="str">
        <f>IF(AND('Mapa final'!$M$48="Alta",'Mapa final'!$Q$48="Moderado"),CONCATENATE("R",'Mapa final'!$A$48),"")</f>
        <v/>
      </c>
      <c r="W18" s="431"/>
      <c r="X18" s="431" t="str">
        <f>IF(AND('Mapa final'!$M$54="Alta",'Mapa final'!$Q$54="Moderado"),CONCATENATE("R",'Mapa final'!$A$54),"")</f>
        <v/>
      </c>
      <c r="Y18" s="431"/>
      <c r="Z18" s="431" t="str">
        <f>IF(AND('Mapa final'!$M$60="Alta",'Mapa final'!$Q$60="Moderado"),CONCATENATE("R",'Mapa final'!$A$60),"")</f>
        <v/>
      </c>
      <c r="AA18" s="432"/>
      <c r="AB18" s="430" t="str">
        <f>IF(AND('Mapa final'!$M$48="Alta",'Mapa final'!$Q$48="Mayor"),CONCATENATE("R",'Mapa final'!$A$48),"")</f>
        <v/>
      </c>
      <c r="AC18" s="431"/>
      <c r="AD18" s="431" t="str">
        <f>IF(AND('Mapa final'!$M$54="Alta",'Mapa final'!$Q$54="Mayor"),CONCATENATE("R",'Mapa final'!$A$54),"")</f>
        <v/>
      </c>
      <c r="AE18" s="431"/>
      <c r="AF18" s="431" t="str">
        <f>IF(AND('Mapa final'!$M$60="Alta",'Mapa final'!$Q$60="Mayor"),CONCATENATE("R",'Mapa final'!$A$60),"")</f>
        <v/>
      </c>
      <c r="AG18" s="432"/>
      <c r="AH18" s="421" t="str">
        <f>IF(AND('Mapa final'!$M$48="Alta",'Mapa final'!$Q$48="Catastrófico"),CONCATENATE("R",'Mapa final'!$A$48),"")</f>
        <v>RR7</v>
      </c>
      <c r="AI18" s="422"/>
      <c r="AJ18" s="422" t="str">
        <f>IF(AND('Mapa final'!$M$54="Alta",'Mapa final'!$Q$54="Catastrófico"),CONCATENATE("R",'Mapa final'!$A$54),"")</f>
        <v/>
      </c>
      <c r="AK18" s="422"/>
      <c r="AL18" s="422" t="str">
        <f>IF(AND('Mapa final'!$M$60="Alta",'Mapa final'!$Q$60="Catastrófico"),CONCATENATE("R",'Mapa final'!$A$60),"")</f>
        <v/>
      </c>
      <c r="AM18" s="423"/>
      <c r="AN18" s="69"/>
      <c r="AO18" s="464"/>
      <c r="AP18" s="465"/>
      <c r="AQ18" s="465"/>
      <c r="AR18" s="465"/>
      <c r="AS18" s="465"/>
      <c r="AT18" s="466"/>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450"/>
      <c r="C19" s="450"/>
      <c r="D19" s="451"/>
      <c r="E19" s="443"/>
      <c r="F19" s="444"/>
      <c r="G19" s="444"/>
      <c r="H19" s="444"/>
      <c r="I19" s="444"/>
      <c r="J19" s="412"/>
      <c r="K19" s="413"/>
      <c r="L19" s="413"/>
      <c r="M19" s="413"/>
      <c r="N19" s="413"/>
      <c r="O19" s="414"/>
      <c r="P19" s="412"/>
      <c r="Q19" s="413"/>
      <c r="R19" s="413"/>
      <c r="S19" s="413"/>
      <c r="T19" s="413"/>
      <c r="U19" s="414"/>
      <c r="V19" s="430"/>
      <c r="W19" s="431"/>
      <c r="X19" s="431"/>
      <c r="Y19" s="431"/>
      <c r="Z19" s="431"/>
      <c r="AA19" s="432"/>
      <c r="AB19" s="430"/>
      <c r="AC19" s="431"/>
      <c r="AD19" s="431"/>
      <c r="AE19" s="431"/>
      <c r="AF19" s="431"/>
      <c r="AG19" s="432"/>
      <c r="AH19" s="421"/>
      <c r="AI19" s="422"/>
      <c r="AJ19" s="422"/>
      <c r="AK19" s="422"/>
      <c r="AL19" s="422"/>
      <c r="AM19" s="423"/>
      <c r="AN19" s="69"/>
      <c r="AO19" s="464"/>
      <c r="AP19" s="465"/>
      <c r="AQ19" s="465"/>
      <c r="AR19" s="465"/>
      <c r="AS19" s="465"/>
      <c r="AT19" s="466"/>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450"/>
      <c r="C20" s="450"/>
      <c r="D20" s="451"/>
      <c r="E20" s="443"/>
      <c r="F20" s="444"/>
      <c r="G20" s="444"/>
      <c r="H20" s="444"/>
      <c r="I20" s="444"/>
      <c r="J20" s="412" t="str">
        <f>IF(AND('Mapa final'!$M$66="Alta",'Mapa final'!$Q$66="Leve"),CONCATENATE("R",'Mapa final'!$A$66),"")</f>
        <v/>
      </c>
      <c r="K20" s="413"/>
      <c r="L20" s="413" t="str">
        <f>IF(AND('Mapa final'!$M$72="Alta",'Mapa final'!$Q$72="Leve"),CONCATENATE("R",'Mapa final'!$A$72),"")</f>
        <v/>
      </c>
      <c r="M20" s="413"/>
      <c r="N20" s="413" t="str">
        <f>IF(AND('Mapa final'!$M$78="Alta",'Mapa final'!$Q$78="Leve"),CONCATENATE("R",'Mapa final'!$A$78),"")</f>
        <v/>
      </c>
      <c r="O20" s="414"/>
      <c r="P20" s="412" t="str">
        <f>IF(AND('Mapa final'!$M$66="Alta",'Mapa final'!$Q$66="Menor"),CONCATENATE("R",'Mapa final'!$A$66),"")</f>
        <v/>
      </c>
      <c r="Q20" s="413"/>
      <c r="R20" s="413" t="str">
        <f>IF(AND('Mapa final'!$M$72="Alta",'Mapa final'!$Q$72="Menor"),CONCATENATE("R",'Mapa final'!$A$72),"")</f>
        <v/>
      </c>
      <c r="S20" s="413"/>
      <c r="T20" s="413" t="str">
        <f>IF(AND('Mapa final'!$M$78="Alta",'Mapa final'!$Q$78="Menor"),CONCATENATE("R",'Mapa final'!$A$78),"")</f>
        <v/>
      </c>
      <c r="U20" s="414"/>
      <c r="V20" s="430" t="str">
        <f>IF(AND('Mapa final'!$M$66="Alta",'Mapa final'!$Q$66="Moderado"),CONCATENATE("R",'Mapa final'!$A$66),"")</f>
        <v/>
      </c>
      <c r="W20" s="431"/>
      <c r="X20" s="431" t="str">
        <f>IF(AND('Mapa final'!$M$72="Alta",'Mapa final'!$Q$72="Moderado"),CONCATENATE("R",'Mapa final'!$A$72),"")</f>
        <v/>
      </c>
      <c r="Y20" s="431"/>
      <c r="Z20" s="431" t="str">
        <f>IF(AND('Mapa final'!$M$78="Alta",'Mapa final'!$Q$78="Moderado"),CONCATENATE("R",'Mapa final'!$A$78),"")</f>
        <v/>
      </c>
      <c r="AA20" s="432"/>
      <c r="AB20" s="430" t="str">
        <f>IF(AND('Mapa final'!$M$66="Alta",'Mapa final'!$Q$66="Mayor"),CONCATENATE("R",'Mapa final'!$A$66),"")</f>
        <v/>
      </c>
      <c r="AC20" s="431"/>
      <c r="AD20" s="431" t="str">
        <f>IF(AND('Mapa final'!$M$72="Alta",'Mapa final'!$Q$72="Mayor"),CONCATENATE("R",'Mapa final'!$A$72),"")</f>
        <v/>
      </c>
      <c r="AE20" s="431"/>
      <c r="AF20" s="431" t="str">
        <f>IF(AND('Mapa final'!$M$78="Alta",'Mapa final'!$Q$78="Mayor"),CONCATENATE("R",'Mapa final'!$A$78),"")</f>
        <v/>
      </c>
      <c r="AG20" s="432"/>
      <c r="AH20" s="421" t="str">
        <f>IF(AND('Mapa final'!$M$66="Alta",'Mapa final'!$Q$66="Catastrófico"),CONCATENATE("R",'Mapa final'!$A$66),"")</f>
        <v/>
      </c>
      <c r="AI20" s="422"/>
      <c r="AJ20" s="422" t="str">
        <f>IF(AND('Mapa final'!$M$72="Alta",'Mapa final'!$Q$72="Catastrófico"),CONCATENATE("R",'Mapa final'!$A$72),"")</f>
        <v/>
      </c>
      <c r="AK20" s="422"/>
      <c r="AL20" s="422" t="str">
        <f>IF(AND('Mapa final'!$M$78="Alta",'Mapa final'!$Q$78="Catastrófico"),CONCATENATE("R",'Mapa final'!$A$78),"")</f>
        <v/>
      </c>
      <c r="AM20" s="423"/>
      <c r="AN20" s="69"/>
      <c r="AO20" s="464"/>
      <c r="AP20" s="465"/>
      <c r="AQ20" s="465"/>
      <c r="AR20" s="465"/>
      <c r="AS20" s="465"/>
      <c r="AT20" s="466"/>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450"/>
      <c r="C21" s="450"/>
      <c r="D21" s="451"/>
      <c r="E21" s="446"/>
      <c r="F21" s="447"/>
      <c r="G21" s="447"/>
      <c r="H21" s="447"/>
      <c r="I21" s="447"/>
      <c r="J21" s="415"/>
      <c r="K21" s="416"/>
      <c r="L21" s="416"/>
      <c r="M21" s="416"/>
      <c r="N21" s="416"/>
      <c r="O21" s="417"/>
      <c r="P21" s="415"/>
      <c r="Q21" s="416"/>
      <c r="R21" s="416"/>
      <c r="S21" s="416"/>
      <c r="T21" s="416"/>
      <c r="U21" s="417"/>
      <c r="V21" s="433"/>
      <c r="W21" s="434"/>
      <c r="X21" s="434"/>
      <c r="Y21" s="434"/>
      <c r="Z21" s="434"/>
      <c r="AA21" s="435"/>
      <c r="AB21" s="433"/>
      <c r="AC21" s="434"/>
      <c r="AD21" s="434"/>
      <c r="AE21" s="434"/>
      <c r="AF21" s="434"/>
      <c r="AG21" s="435"/>
      <c r="AH21" s="424"/>
      <c r="AI21" s="425"/>
      <c r="AJ21" s="425"/>
      <c r="AK21" s="425"/>
      <c r="AL21" s="425"/>
      <c r="AM21" s="426"/>
      <c r="AN21" s="69"/>
      <c r="AO21" s="467"/>
      <c r="AP21" s="468"/>
      <c r="AQ21" s="468"/>
      <c r="AR21" s="468"/>
      <c r="AS21" s="468"/>
      <c r="AT21" s="4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450"/>
      <c r="C22" s="450"/>
      <c r="D22" s="451"/>
      <c r="E22" s="440" t="s">
        <v>117</v>
      </c>
      <c r="F22" s="441"/>
      <c r="G22" s="441"/>
      <c r="H22" s="441"/>
      <c r="I22" s="442"/>
      <c r="J22" s="418" t="str">
        <f>IF(AND('Mapa final'!$M$12="Media",'Mapa final'!$Q$12="Leve"),CONCATENATE("R",'Mapa final'!$A$12),"")</f>
        <v/>
      </c>
      <c r="K22" s="419"/>
      <c r="L22" s="419" t="str">
        <f>IF(AND('Mapa final'!$M$18="Media",'Mapa final'!$Q$18="Leve"),CONCATENATE("R",'Mapa final'!$A$18),"")</f>
        <v/>
      </c>
      <c r="M22" s="419"/>
      <c r="N22" s="419" t="str">
        <f>IF(AND('Mapa final'!$M$24="Media",'Mapa final'!$Q$24="Leve"),CONCATENATE("R",'Mapa final'!$A$24),"")</f>
        <v/>
      </c>
      <c r="O22" s="420"/>
      <c r="P22" s="418" t="str">
        <f>IF(AND('Mapa final'!$M$12="Media",'Mapa final'!$Q$12="Menor"),CONCATENATE("R",'Mapa final'!$A$12),"")</f>
        <v/>
      </c>
      <c r="Q22" s="419"/>
      <c r="R22" s="419" t="str">
        <f>IF(AND('Mapa final'!$M$18="Media",'Mapa final'!$Q$18="Menor"),CONCATENATE("R",'Mapa final'!$A$18),"")</f>
        <v/>
      </c>
      <c r="S22" s="419"/>
      <c r="T22" s="419" t="str">
        <f>IF(AND('Mapa final'!$M$24="Media",'Mapa final'!$Q$24="Menor"),CONCATENATE("R",'Mapa final'!$A$24),"")</f>
        <v/>
      </c>
      <c r="U22" s="420"/>
      <c r="V22" s="418" t="str">
        <f>IF(AND('Mapa final'!$M$12="Media",'Mapa final'!$Q$12="Moderado"),CONCATENATE("R",'Mapa final'!$A$12),"")</f>
        <v/>
      </c>
      <c r="W22" s="419"/>
      <c r="X22" s="419" t="str">
        <f>IF(AND('Mapa final'!$M$18="Media",'Mapa final'!$Q$18="Moderado"),CONCATENATE("R",'Mapa final'!$A$18),"")</f>
        <v/>
      </c>
      <c r="Y22" s="419"/>
      <c r="Z22" s="419" t="str">
        <f>IF(AND('Mapa final'!$M$24="Media",'Mapa final'!$Q$24="Moderado"),CONCATENATE("R",'Mapa final'!$A$24),"")</f>
        <v/>
      </c>
      <c r="AA22" s="420"/>
      <c r="AB22" s="436" t="str">
        <f>IF(AND('Mapa final'!$M$12="Media",'Mapa final'!$Q$12="Mayor"),CONCATENATE("R",'Mapa final'!$A$12),"")</f>
        <v>RR1</v>
      </c>
      <c r="AC22" s="437"/>
      <c r="AD22" s="437" t="str">
        <f>IF(AND('Mapa final'!$M$18="Media",'Mapa final'!$Q$18="Mayor"),CONCATENATE("R",'Mapa final'!$A$18),"")</f>
        <v/>
      </c>
      <c r="AE22" s="437"/>
      <c r="AF22" s="437" t="str">
        <f>IF(AND('Mapa final'!$M$24="Media",'Mapa final'!$Q$24="Mayor"),CONCATENATE("R",'Mapa final'!$A$24),"")</f>
        <v/>
      </c>
      <c r="AG22" s="438"/>
      <c r="AH22" s="427" t="str">
        <f>IF(AND('Mapa final'!$M$12="Media",'Mapa final'!$Q$12="Catastrófico"),CONCATENATE("R",'Mapa final'!$A$12),"")</f>
        <v/>
      </c>
      <c r="AI22" s="428"/>
      <c r="AJ22" s="428" t="str">
        <f>IF(AND('Mapa final'!$M$18="Media",'Mapa final'!$Q$18="Catastrófico"),CONCATENATE("R",'Mapa final'!$A$18),"")</f>
        <v>RR2</v>
      </c>
      <c r="AK22" s="428"/>
      <c r="AL22" s="428" t="str">
        <f>IF(AND('Mapa final'!$M$24="Media",'Mapa final'!$Q$24="Catastrófico"),CONCATENATE("R",'Mapa final'!$A$24),"")</f>
        <v/>
      </c>
      <c r="AM22" s="429"/>
      <c r="AN22" s="69"/>
      <c r="AO22" s="470" t="s">
        <v>81</v>
      </c>
      <c r="AP22" s="471"/>
      <c r="AQ22" s="471"/>
      <c r="AR22" s="471"/>
      <c r="AS22" s="471"/>
      <c r="AT22" s="472"/>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450"/>
      <c r="C23" s="450"/>
      <c r="D23" s="451"/>
      <c r="E23" s="443"/>
      <c r="F23" s="444"/>
      <c r="G23" s="444"/>
      <c r="H23" s="444"/>
      <c r="I23" s="445"/>
      <c r="J23" s="412"/>
      <c r="K23" s="413"/>
      <c r="L23" s="413"/>
      <c r="M23" s="413"/>
      <c r="N23" s="413"/>
      <c r="O23" s="414"/>
      <c r="P23" s="412"/>
      <c r="Q23" s="413"/>
      <c r="R23" s="413"/>
      <c r="S23" s="413"/>
      <c r="T23" s="413"/>
      <c r="U23" s="414"/>
      <c r="V23" s="412"/>
      <c r="W23" s="413"/>
      <c r="X23" s="413"/>
      <c r="Y23" s="413"/>
      <c r="Z23" s="413"/>
      <c r="AA23" s="414"/>
      <c r="AB23" s="430"/>
      <c r="AC23" s="431"/>
      <c r="AD23" s="431"/>
      <c r="AE23" s="431"/>
      <c r="AF23" s="431"/>
      <c r="AG23" s="432"/>
      <c r="AH23" s="421"/>
      <c r="AI23" s="422"/>
      <c r="AJ23" s="422"/>
      <c r="AK23" s="422"/>
      <c r="AL23" s="422"/>
      <c r="AM23" s="423"/>
      <c r="AN23" s="69"/>
      <c r="AO23" s="473"/>
      <c r="AP23" s="474"/>
      <c r="AQ23" s="474"/>
      <c r="AR23" s="474"/>
      <c r="AS23" s="474"/>
      <c r="AT23" s="475"/>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450"/>
      <c r="C24" s="450"/>
      <c r="D24" s="451"/>
      <c r="E24" s="443"/>
      <c r="F24" s="444"/>
      <c r="G24" s="444"/>
      <c r="H24" s="444"/>
      <c r="I24" s="445"/>
      <c r="J24" s="412" t="str">
        <f>IF(AND('Mapa final'!$M$30="Media",'Mapa final'!$Q$30="Leve"),CONCATENATE("R",'Mapa final'!$A$30),"")</f>
        <v/>
      </c>
      <c r="K24" s="413"/>
      <c r="L24" s="413" t="str">
        <f>IF(AND('Mapa final'!$M$36="Media",'Mapa final'!$Q$36="Leve"),CONCATENATE("R",'Mapa final'!$A$36),"")</f>
        <v/>
      </c>
      <c r="M24" s="413"/>
      <c r="N24" s="413" t="str">
        <f>IF(AND('Mapa final'!$M$42="Media",'Mapa final'!$Q$42="Leve"),CONCATENATE("R",'Mapa final'!$A$42),"")</f>
        <v/>
      </c>
      <c r="O24" s="414"/>
      <c r="P24" s="412" t="str">
        <f>IF(AND('Mapa final'!$M$30="Media",'Mapa final'!$Q$30="Menor"),CONCATENATE("R",'Mapa final'!$A$30),"")</f>
        <v/>
      </c>
      <c r="Q24" s="413"/>
      <c r="R24" s="413" t="str">
        <f>IF(AND('Mapa final'!$M$36="Media",'Mapa final'!$Q$36="Menor"),CONCATENATE("R",'Mapa final'!$A$36),"")</f>
        <v/>
      </c>
      <c r="S24" s="413"/>
      <c r="T24" s="413" t="str">
        <f>IF(AND('Mapa final'!$M$42="Media",'Mapa final'!$Q$42="Menor"),CONCATENATE("R",'Mapa final'!$A$42),"")</f>
        <v/>
      </c>
      <c r="U24" s="414"/>
      <c r="V24" s="412" t="str">
        <f>IF(AND('Mapa final'!$M$30="Media",'Mapa final'!$Q$30="Moderado"),CONCATENATE("R",'Mapa final'!$A$30),"")</f>
        <v/>
      </c>
      <c r="W24" s="413"/>
      <c r="X24" s="413" t="str">
        <f>IF(AND('Mapa final'!$M$36="Media",'Mapa final'!$Q$36="Moderado"),CONCATENATE("R",'Mapa final'!$A$36),"")</f>
        <v/>
      </c>
      <c r="Y24" s="413"/>
      <c r="Z24" s="413" t="str">
        <f>IF(AND('Mapa final'!$M$42="Media",'Mapa final'!$Q$42="Moderado"),CONCATENATE("R",'Mapa final'!$A$42),"")</f>
        <v/>
      </c>
      <c r="AA24" s="414"/>
      <c r="AB24" s="430" t="str">
        <f>IF(AND('Mapa final'!$M$30="Media",'Mapa final'!$Q$30="Mayor"),CONCATENATE("R",'Mapa final'!$A$30),"")</f>
        <v>RR4</v>
      </c>
      <c r="AC24" s="431"/>
      <c r="AD24" s="431" t="str">
        <f>IF(AND('Mapa final'!$M$36="Media",'Mapa final'!$Q$36="Mayor"),CONCATENATE("R",'Mapa final'!$A$36),"")</f>
        <v/>
      </c>
      <c r="AE24" s="431"/>
      <c r="AF24" s="431" t="str">
        <f>IF(AND('Mapa final'!$M$42="Media",'Mapa final'!$Q$42="Mayor"),CONCATENATE("R",'Mapa final'!$A$42),"")</f>
        <v/>
      </c>
      <c r="AG24" s="432"/>
      <c r="AH24" s="421" t="str">
        <f>IF(AND('Mapa final'!$M$30="Media",'Mapa final'!$Q$30="Catastrófico"),CONCATENATE("R",'Mapa final'!$A$30),"")</f>
        <v/>
      </c>
      <c r="AI24" s="422"/>
      <c r="AJ24" s="422" t="str">
        <f>IF(AND('Mapa final'!$M$36="Media",'Mapa final'!$Q$36="Catastrófico"),CONCATENATE("R",'Mapa final'!$A$36),"")</f>
        <v/>
      </c>
      <c r="AK24" s="422"/>
      <c r="AL24" s="422" t="str">
        <f>IF(AND('Mapa final'!$M$42="Media",'Mapa final'!$Q$42="Catastrófico"),CONCATENATE("R",'Mapa final'!$A$42),"")</f>
        <v/>
      </c>
      <c r="AM24" s="423"/>
      <c r="AN24" s="69"/>
      <c r="AO24" s="473"/>
      <c r="AP24" s="474"/>
      <c r="AQ24" s="474"/>
      <c r="AR24" s="474"/>
      <c r="AS24" s="474"/>
      <c r="AT24" s="475"/>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450"/>
      <c r="C25" s="450"/>
      <c r="D25" s="451"/>
      <c r="E25" s="443"/>
      <c r="F25" s="444"/>
      <c r="G25" s="444"/>
      <c r="H25" s="444"/>
      <c r="I25" s="445"/>
      <c r="J25" s="412"/>
      <c r="K25" s="413"/>
      <c r="L25" s="413"/>
      <c r="M25" s="413"/>
      <c r="N25" s="413"/>
      <c r="O25" s="414"/>
      <c r="P25" s="412"/>
      <c r="Q25" s="413"/>
      <c r="R25" s="413"/>
      <c r="S25" s="413"/>
      <c r="T25" s="413"/>
      <c r="U25" s="414"/>
      <c r="V25" s="412"/>
      <c r="W25" s="413"/>
      <c r="X25" s="413"/>
      <c r="Y25" s="413"/>
      <c r="Z25" s="413"/>
      <c r="AA25" s="414"/>
      <c r="AB25" s="430"/>
      <c r="AC25" s="431"/>
      <c r="AD25" s="431"/>
      <c r="AE25" s="431"/>
      <c r="AF25" s="431"/>
      <c r="AG25" s="432"/>
      <c r="AH25" s="421"/>
      <c r="AI25" s="422"/>
      <c r="AJ25" s="422"/>
      <c r="AK25" s="422"/>
      <c r="AL25" s="422"/>
      <c r="AM25" s="423"/>
      <c r="AN25" s="69"/>
      <c r="AO25" s="473"/>
      <c r="AP25" s="474"/>
      <c r="AQ25" s="474"/>
      <c r="AR25" s="474"/>
      <c r="AS25" s="474"/>
      <c r="AT25" s="475"/>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450"/>
      <c r="C26" s="450"/>
      <c r="D26" s="451"/>
      <c r="E26" s="443"/>
      <c r="F26" s="444"/>
      <c r="G26" s="444"/>
      <c r="H26" s="444"/>
      <c r="I26" s="445"/>
      <c r="J26" s="412" t="str">
        <f>IF(AND('Mapa final'!$M$48="Media",'Mapa final'!$Q$48="Leve"),CONCATENATE("R",'Mapa final'!$A$48),"")</f>
        <v/>
      </c>
      <c r="K26" s="413"/>
      <c r="L26" s="413" t="str">
        <f>IF(AND('Mapa final'!$M$54="Media",'Mapa final'!$Q$54="Leve"),CONCATENATE("R",'Mapa final'!$A$54),"")</f>
        <v/>
      </c>
      <c r="M26" s="413"/>
      <c r="N26" s="413" t="str">
        <f>IF(AND('Mapa final'!$M$60="Media",'Mapa final'!$Q$60="Leve"),CONCATENATE("R",'Mapa final'!$A$60),"")</f>
        <v/>
      </c>
      <c r="O26" s="414"/>
      <c r="P26" s="412" t="str">
        <f>IF(AND('Mapa final'!$M$48="Media",'Mapa final'!$Q$48="Menor"),CONCATENATE("R",'Mapa final'!$A$48),"")</f>
        <v/>
      </c>
      <c r="Q26" s="413"/>
      <c r="R26" s="413" t="str">
        <f>IF(AND('Mapa final'!$M$54="Media",'Mapa final'!$Q$54="Menor"),CONCATENATE("R",'Mapa final'!$A$54),"")</f>
        <v/>
      </c>
      <c r="S26" s="413"/>
      <c r="T26" s="413" t="str">
        <f>IF(AND('Mapa final'!$M$60="Media",'Mapa final'!$Q$60="Menor"),CONCATENATE("R",'Mapa final'!$A$60),"")</f>
        <v/>
      </c>
      <c r="U26" s="414"/>
      <c r="V26" s="412" t="str">
        <f>IF(AND('Mapa final'!$M$48="Media",'Mapa final'!$Q$48="Moderado"),CONCATENATE("R",'Mapa final'!$A$48),"")</f>
        <v/>
      </c>
      <c r="W26" s="413"/>
      <c r="X26" s="413" t="str">
        <f>IF(AND('Mapa final'!$M$54="Media",'Mapa final'!$Q$54="Moderado"),CONCATENATE("R",'Mapa final'!$A$54),"")</f>
        <v/>
      </c>
      <c r="Y26" s="413"/>
      <c r="Z26" s="413" t="str">
        <f>IF(AND('Mapa final'!$M$60="Media",'Mapa final'!$Q$60="Moderado"),CONCATENATE("R",'Mapa final'!$A$60),"")</f>
        <v/>
      </c>
      <c r="AA26" s="414"/>
      <c r="AB26" s="430" t="str">
        <f>IF(AND('Mapa final'!$M$48="Media",'Mapa final'!$Q$48="Mayor"),CONCATENATE("R",'Mapa final'!$A$48),"")</f>
        <v/>
      </c>
      <c r="AC26" s="431"/>
      <c r="AD26" s="431" t="str">
        <f>IF(AND('Mapa final'!$M$54="Media",'Mapa final'!$Q$54="Mayor"),CONCATENATE("R",'Mapa final'!$A$54),"")</f>
        <v/>
      </c>
      <c r="AE26" s="431"/>
      <c r="AF26" s="431" t="str">
        <f>IF(AND('Mapa final'!$M$60="Media",'Mapa final'!$Q$60="Mayor"),CONCATENATE("R",'Mapa final'!$A$60),"")</f>
        <v/>
      </c>
      <c r="AG26" s="432"/>
      <c r="AH26" s="421" t="str">
        <f>IF(AND('Mapa final'!$M$48="Media",'Mapa final'!$Q$48="Catastrófico"),CONCATENATE("R",'Mapa final'!$A$48),"")</f>
        <v/>
      </c>
      <c r="AI26" s="422"/>
      <c r="AJ26" s="422" t="str">
        <f>IF(AND('Mapa final'!$M$54="Media",'Mapa final'!$Q$54="Catastrófico"),CONCATENATE("R",'Mapa final'!$A$54),"")</f>
        <v/>
      </c>
      <c r="AK26" s="422"/>
      <c r="AL26" s="422" t="str">
        <f>IF(AND('Mapa final'!$M$60="Media",'Mapa final'!$Q$60="Catastrófico"),CONCATENATE("R",'Mapa final'!$A$60),"")</f>
        <v>R9</v>
      </c>
      <c r="AM26" s="423"/>
      <c r="AN26" s="69"/>
      <c r="AO26" s="473"/>
      <c r="AP26" s="474"/>
      <c r="AQ26" s="474"/>
      <c r="AR26" s="474"/>
      <c r="AS26" s="474"/>
      <c r="AT26" s="475"/>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450"/>
      <c r="C27" s="450"/>
      <c r="D27" s="451"/>
      <c r="E27" s="443"/>
      <c r="F27" s="444"/>
      <c r="G27" s="444"/>
      <c r="H27" s="444"/>
      <c r="I27" s="445"/>
      <c r="J27" s="412"/>
      <c r="K27" s="413"/>
      <c r="L27" s="413"/>
      <c r="M27" s="413"/>
      <c r="N27" s="413"/>
      <c r="O27" s="414"/>
      <c r="P27" s="412"/>
      <c r="Q27" s="413"/>
      <c r="R27" s="413"/>
      <c r="S27" s="413"/>
      <c r="T27" s="413"/>
      <c r="U27" s="414"/>
      <c r="V27" s="412"/>
      <c r="W27" s="413"/>
      <c r="X27" s="413"/>
      <c r="Y27" s="413"/>
      <c r="Z27" s="413"/>
      <c r="AA27" s="414"/>
      <c r="AB27" s="430"/>
      <c r="AC27" s="431"/>
      <c r="AD27" s="431"/>
      <c r="AE27" s="431"/>
      <c r="AF27" s="431"/>
      <c r="AG27" s="432"/>
      <c r="AH27" s="421"/>
      <c r="AI27" s="422"/>
      <c r="AJ27" s="422"/>
      <c r="AK27" s="422"/>
      <c r="AL27" s="422"/>
      <c r="AM27" s="423"/>
      <c r="AN27" s="69"/>
      <c r="AO27" s="473"/>
      <c r="AP27" s="474"/>
      <c r="AQ27" s="474"/>
      <c r="AR27" s="474"/>
      <c r="AS27" s="474"/>
      <c r="AT27" s="475"/>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450"/>
      <c r="C28" s="450"/>
      <c r="D28" s="451"/>
      <c r="E28" s="443"/>
      <c r="F28" s="444"/>
      <c r="G28" s="444"/>
      <c r="H28" s="444"/>
      <c r="I28" s="445"/>
      <c r="J28" s="412" t="str">
        <f>IF(AND('Mapa final'!$M$66="Media",'Mapa final'!$Q$66="Leve"),CONCATENATE("R",'Mapa final'!$A$66),"")</f>
        <v/>
      </c>
      <c r="K28" s="413"/>
      <c r="L28" s="413" t="str">
        <f>IF(AND('Mapa final'!$M$72="Media",'Mapa final'!$Q$72="Leve"),CONCATENATE("R",'Mapa final'!$A$72),"")</f>
        <v/>
      </c>
      <c r="M28" s="413"/>
      <c r="N28" s="413" t="str">
        <f>IF(AND('Mapa final'!$M$78="Media",'Mapa final'!$Q$78="Leve"),CONCATENATE("R",'Mapa final'!$A$78),"")</f>
        <v/>
      </c>
      <c r="O28" s="414"/>
      <c r="P28" s="412" t="str">
        <f>IF(AND('Mapa final'!$M$66="Media",'Mapa final'!$Q$66="Menor"),CONCATENATE("R",'Mapa final'!$A$66),"")</f>
        <v/>
      </c>
      <c r="Q28" s="413"/>
      <c r="R28" s="413" t="str">
        <f>IF(AND('Mapa final'!$M$72="Media",'Mapa final'!$Q$72="Menor"),CONCATENATE("R",'Mapa final'!$A$72),"")</f>
        <v/>
      </c>
      <c r="S28" s="413"/>
      <c r="T28" s="413" t="str">
        <f>IF(AND('Mapa final'!$M$78="Media",'Mapa final'!$Q$78="Menor"),CONCATENATE("R",'Mapa final'!$A$78),"")</f>
        <v/>
      </c>
      <c r="U28" s="414"/>
      <c r="V28" s="412" t="str">
        <f>IF(AND('Mapa final'!$M$66="Media",'Mapa final'!$Q$66="Moderado"),CONCATENATE("R",'Mapa final'!$A$66),"")</f>
        <v/>
      </c>
      <c r="W28" s="413"/>
      <c r="X28" s="413" t="str">
        <f>IF(AND('Mapa final'!$M$72="Media",'Mapa final'!$Q$72="Moderado"),CONCATENATE("R",'Mapa final'!$A$72),"")</f>
        <v/>
      </c>
      <c r="Y28" s="413"/>
      <c r="Z28" s="413" t="str">
        <f>IF(AND('Mapa final'!$M$78="Media",'Mapa final'!$Q$78="Moderado"),CONCATENATE("R",'Mapa final'!$A$78),"")</f>
        <v/>
      </c>
      <c r="AA28" s="414"/>
      <c r="AB28" s="430" t="str">
        <f>IF(AND('Mapa final'!$M$66="Media",'Mapa final'!$Q$66="Mayor"),CONCATENATE("R",'Mapa final'!$A$66),"")</f>
        <v/>
      </c>
      <c r="AC28" s="431"/>
      <c r="AD28" s="431" t="str">
        <f>IF(AND('Mapa final'!$M$72="Media",'Mapa final'!$Q$72="Mayor"),CONCATENATE("R",'Mapa final'!$A$72),"")</f>
        <v/>
      </c>
      <c r="AE28" s="431"/>
      <c r="AF28" s="431" t="str">
        <f>IF(AND('Mapa final'!$M$78="Media",'Mapa final'!$Q$78="Mayor"),CONCATENATE("R",'Mapa final'!$A$78),"")</f>
        <v/>
      </c>
      <c r="AG28" s="432"/>
      <c r="AH28" s="421" t="str">
        <f>IF(AND('Mapa final'!$M$66="Media",'Mapa final'!$Q$66="Catastrófico"),CONCATENATE("R",'Mapa final'!$A$66),"")</f>
        <v/>
      </c>
      <c r="AI28" s="422"/>
      <c r="AJ28" s="422" t="str">
        <f>IF(AND('Mapa final'!$M$72="Media",'Mapa final'!$Q$72="Catastrófico"),CONCATENATE("R",'Mapa final'!$A$72),"")</f>
        <v/>
      </c>
      <c r="AK28" s="422"/>
      <c r="AL28" s="422" t="str">
        <f>IF(AND('Mapa final'!$M$78="Media",'Mapa final'!$Q$78="Catastrófico"),CONCATENATE("R",'Mapa final'!$A$78),"")</f>
        <v/>
      </c>
      <c r="AM28" s="423"/>
      <c r="AN28" s="69"/>
      <c r="AO28" s="473"/>
      <c r="AP28" s="474"/>
      <c r="AQ28" s="474"/>
      <c r="AR28" s="474"/>
      <c r="AS28" s="474"/>
      <c r="AT28" s="475"/>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450"/>
      <c r="C29" s="450"/>
      <c r="D29" s="451"/>
      <c r="E29" s="446"/>
      <c r="F29" s="447"/>
      <c r="G29" s="447"/>
      <c r="H29" s="447"/>
      <c r="I29" s="448"/>
      <c r="J29" s="412"/>
      <c r="K29" s="413"/>
      <c r="L29" s="413"/>
      <c r="M29" s="413"/>
      <c r="N29" s="413"/>
      <c r="O29" s="414"/>
      <c r="P29" s="415"/>
      <c r="Q29" s="416"/>
      <c r="R29" s="416"/>
      <c r="S29" s="416"/>
      <c r="T29" s="416"/>
      <c r="U29" s="417"/>
      <c r="V29" s="415"/>
      <c r="W29" s="416"/>
      <c r="X29" s="416"/>
      <c r="Y29" s="416"/>
      <c r="Z29" s="416"/>
      <c r="AA29" s="417"/>
      <c r="AB29" s="433"/>
      <c r="AC29" s="434"/>
      <c r="AD29" s="434"/>
      <c r="AE29" s="434"/>
      <c r="AF29" s="434"/>
      <c r="AG29" s="435"/>
      <c r="AH29" s="424"/>
      <c r="AI29" s="425"/>
      <c r="AJ29" s="425"/>
      <c r="AK29" s="425"/>
      <c r="AL29" s="425"/>
      <c r="AM29" s="426"/>
      <c r="AN29" s="69"/>
      <c r="AO29" s="476"/>
      <c r="AP29" s="477"/>
      <c r="AQ29" s="477"/>
      <c r="AR29" s="477"/>
      <c r="AS29" s="477"/>
      <c r="AT29" s="478"/>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450"/>
      <c r="C30" s="450"/>
      <c r="D30" s="451"/>
      <c r="E30" s="440" t="s">
        <v>114</v>
      </c>
      <c r="F30" s="441"/>
      <c r="G30" s="441"/>
      <c r="H30" s="441"/>
      <c r="I30" s="441"/>
      <c r="J30" s="409" t="str">
        <f>IF(AND('Mapa final'!$M$12="Baja",'Mapa final'!$Q$12="Leve"),CONCATENATE("R",'Mapa final'!$A$12),"")</f>
        <v/>
      </c>
      <c r="K30" s="410"/>
      <c r="L30" s="410" t="str">
        <f>IF(AND('Mapa final'!$M$18="Baja",'Mapa final'!$Q$18="Leve"),CONCATENATE("R",'Mapa final'!$A$18),"")</f>
        <v/>
      </c>
      <c r="M30" s="410"/>
      <c r="N30" s="410" t="str">
        <f>IF(AND('Mapa final'!$M$24="Baja",'Mapa final'!$Q$24="Leve"),CONCATENATE("R",'Mapa final'!$A$24),"")</f>
        <v/>
      </c>
      <c r="O30" s="411"/>
      <c r="P30" s="419" t="str">
        <f>IF(AND('Mapa final'!$M$12="Baja",'Mapa final'!$Q$12="Menor"),CONCATENATE("R",'Mapa final'!$A$12),"")</f>
        <v/>
      </c>
      <c r="Q30" s="419"/>
      <c r="R30" s="419" t="str">
        <f>IF(AND('Mapa final'!$M$18="Baja",'Mapa final'!$Q$18="Menor"),CONCATENATE("R",'Mapa final'!$A$18),"")</f>
        <v/>
      </c>
      <c r="S30" s="419"/>
      <c r="T30" s="419" t="str">
        <f>IF(AND('Mapa final'!$M$24="Baja",'Mapa final'!$Q$24="Menor"),CONCATENATE("R",'Mapa final'!$A$24),"")</f>
        <v/>
      </c>
      <c r="U30" s="420"/>
      <c r="V30" s="418" t="str">
        <f>IF(AND('Mapa final'!$M$12="Baja",'Mapa final'!$Q$12="Moderado"),CONCATENATE("R",'Mapa final'!$A$12),"")</f>
        <v/>
      </c>
      <c r="W30" s="419"/>
      <c r="X30" s="419" t="str">
        <f>IF(AND('Mapa final'!$M$18="Baja",'Mapa final'!$Q$18="Moderado"),CONCATENATE("R",'Mapa final'!$A$18),"")</f>
        <v/>
      </c>
      <c r="Y30" s="419"/>
      <c r="Z30" s="419" t="str">
        <f>IF(AND('Mapa final'!$M$24="Baja",'Mapa final'!$Q$24="Moderado"),CONCATENATE("R",'Mapa final'!$A$24),"")</f>
        <v/>
      </c>
      <c r="AA30" s="420"/>
      <c r="AB30" s="436" t="str">
        <f>IF(AND('Mapa final'!$M$12="Baja",'Mapa final'!$Q$12="Mayor"),CONCATENATE("R",'Mapa final'!$A$12),"")</f>
        <v/>
      </c>
      <c r="AC30" s="437"/>
      <c r="AD30" s="437" t="str">
        <f>IF(AND('Mapa final'!$M$18="Baja",'Mapa final'!$Q$18="Mayor"),CONCATENATE("R",'Mapa final'!$A$18),"")</f>
        <v/>
      </c>
      <c r="AE30" s="437"/>
      <c r="AF30" s="437" t="str">
        <f>IF(AND('Mapa final'!$M$24="Baja",'Mapa final'!$Q$24="Mayor"),CONCATENATE("R",'Mapa final'!$A$24),"")</f>
        <v/>
      </c>
      <c r="AG30" s="438"/>
      <c r="AH30" s="427" t="str">
        <f>IF(AND('Mapa final'!$M$12="Baja",'Mapa final'!$Q$12="Catastrófico"),CONCATENATE("R",'Mapa final'!$A$12),"")</f>
        <v/>
      </c>
      <c r="AI30" s="428"/>
      <c r="AJ30" s="428" t="str">
        <f>IF(AND('Mapa final'!$M$18="Baja",'Mapa final'!$Q$18="Catastrófico"),CONCATENATE("R",'Mapa final'!$A$18),"")</f>
        <v/>
      </c>
      <c r="AK30" s="428"/>
      <c r="AL30" s="428" t="str">
        <f>IF(AND('Mapa final'!$M$24="Baja",'Mapa final'!$Q$24="Catastrófico"),CONCATENATE("R",'Mapa final'!$A$24),"")</f>
        <v/>
      </c>
      <c r="AM30" s="429"/>
      <c r="AN30" s="69"/>
      <c r="AO30" s="479" t="s">
        <v>82</v>
      </c>
      <c r="AP30" s="480"/>
      <c r="AQ30" s="480"/>
      <c r="AR30" s="480"/>
      <c r="AS30" s="480"/>
      <c r="AT30" s="481"/>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450"/>
      <c r="C31" s="450"/>
      <c r="D31" s="451"/>
      <c r="E31" s="443"/>
      <c r="F31" s="444"/>
      <c r="G31" s="444"/>
      <c r="H31" s="444"/>
      <c r="I31" s="444"/>
      <c r="J31" s="403"/>
      <c r="K31" s="404"/>
      <c r="L31" s="404"/>
      <c r="M31" s="404"/>
      <c r="N31" s="404"/>
      <c r="O31" s="405"/>
      <c r="P31" s="413"/>
      <c r="Q31" s="413"/>
      <c r="R31" s="413"/>
      <c r="S31" s="413"/>
      <c r="T31" s="413"/>
      <c r="U31" s="414"/>
      <c r="V31" s="412"/>
      <c r="W31" s="413"/>
      <c r="X31" s="413"/>
      <c r="Y31" s="413"/>
      <c r="Z31" s="413"/>
      <c r="AA31" s="414"/>
      <c r="AB31" s="430"/>
      <c r="AC31" s="431"/>
      <c r="AD31" s="431"/>
      <c r="AE31" s="431"/>
      <c r="AF31" s="431"/>
      <c r="AG31" s="432"/>
      <c r="AH31" s="421"/>
      <c r="AI31" s="422"/>
      <c r="AJ31" s="422"/>
      <c r="AK31" s="422"/>
      <c r="AL31" s="422"/>
      <c r="AM31" s="423"/>
      <c r="AN31" s="69"/>
      <c r="AO31" s="482"/>
      <c r="AP31" s="483"/>
      <c r="AQ31" s="483"/>
      <c r="AR31" s="483"/>
      <c r="AS31" s="483"/>
      <c r="AT31" s="484"/>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450"/>
      <c r="C32" s="450"/>
      <c r="D32" s="451"/>
      <c r="E32" s="443"/>
      <c r="F32" s="444"/>
      <c r="G32" s="444"/>
      <c r="H32" s="444"/>
      <c r="I32" s="444"/>
      <c r="J32" s="403" t="str">
        <f>IF(AND('Mapa final'!$M$30="Baja",'Mapa final'!$Q$30="Leve"),CONCATENATE("R",'Mapa final'!$A$30),"")</f>
        <v/>
      </c>
      <c r="K32" s="404"/>
      <c r="L32" s="404" t="str">
        <f>IF(AND('Mapa final'!$M$36="Baja",'Mapa final'!$Q$36="Leve"),CONCATENATE("R",'Mapa final'!$A$36),"")</f>
        <v/>
      </c>
      <c r="M32" s="404"/>
      <c r="N32" s="404" t="str">
        <f>IF(AND('Mapa final'!$M$42="Baja",'Mapa final'!$Q$42="Leve"),CONCATENATE("R",'Mapa final'!$A$42),"")</f>
        <v/>
      </c>
      <c r="O32" s="405"/>
      <c r="P32" s="413" t="str">
        <f>IF(AND('Mapa final'!$M$30="Baja",'Mapa final'!$Q$30="Menor"),CONCATENATE("R",'Mapa final'!$A$30),"")</f>
        <v/>
      </c>
      <c r="Q32" s="413"/>
      <c r="R32" s="413" t="str">
        <f>IF(AND('Mapa final'!$M$36="Baja",'Mapa final'!$Q$36="Menor"),CONCATENATE("R",'Mapa final'!$A$36),"")</f>
        <v/>
      </c>
      <c r="S32" s="413"/>
      <c r="T32" s="413" t="str">
        <f>IF(AND('Mapa final'!$M$42="Baja",'Mapa final'!$Q$42="Menor"),CONCATENATE("R",'Mapa final'!$A$42),"")</f>
        <v/>
      </c>
      <c r="U32" s="414"/>
      <c r="V32" s="412" t="str">
        <f>IF(AND('Mapa final'!$M$30="Baja",'Mapa final'!$Q$30="Moderado"),CONCATENATE("R",'Mapa final'!$A$30),"")</f>
        <v/>
      </c>
      <c r="W32" s="413"/>
      <c r="X32" s="413" t="str">
        <f>IF(AND('Mapa final'!$M$36="Baja",'Mapa final'!$Q$36="Moderado"),CONCATENATE("R",'Mapa final'!$A$36),"")</f>
        <v/>
      </c>
      <c r="Y32" s="413"/>
      <c r="Z32" s="413" t="str">
        <f>IF(AND('Mapa final'!$M$42="Baja",'Mapa final'!$Q$42="Moderado"),CONCATENATE("R",'Mapa final'!$A$42),"")</f>
        <v/>
      </c>
      <c r="AA32" s="414"/>
      <c r="AB32" s="430" t="str">
        <f>IF(AND('Mapa final'!$M$30="Baja",'Mapa final'!$Q$30="Mayor"),CONCATENATE("R",'Mapa final'!$A$30),"")</f>
        <v/>
      </c>
      <c r="AC32" s="431"/>
      <c r="AD32" s="431" t="str">
        <f>IF(AND('Mapa final'!$M$36="Baja",'Mapa final'!$Q$36="Mayor"),CONCATENATE("R",'Mapa final'!$A$36),"")</f>
        <v/>
      </c>
      <c r="AE32" s="431"/>
      <c r="AF32" s="431" t="str">
        <f>IF(AND('Mapa final'!$M$42="Baja",'Mapa final'!$Q$42="Mayor"),CONCATENATE("R",'Mapa final'!$A$42),"")</f>
        <v/>
      </c>
      <c r="AG32" s="432"/>
      <c r="AH32" s="421" t="str">
        <f>IF(AND('Mapa final'!$M$30="Baja",'Mapa final'!$Q$30="Catastrófico"),CONCATENATE("R",'Mapa final'!$A$30),"")</f>
        <v/>
      </c>
      <c r="AI32" s="422"/>
      <c r="AJ32" s="422" t="str">
        <f>IF(AND('Mapa final'!$M$36="Baja",'Mapa final'!$Q$36="Catastrófico"),CONCATENATE("R",'Mapa final'!$A$36),"")</f>
        <v/>
      </c>
      <c r="AK32" s="422"/>
      <c r="AL32" s="422" t="str">
        <f>IF(AND('Mapa final'!$M$42="Baja",'Mapa final'!$Q$42="Catastrófico"),CONCATENATE("R",'Mapa final'!$A$42),"")</f>
        <v/>
      </c>
      <c r="AM32" s="423"/>
      <c r="AN32" s="69"/>
      <c r="AO32" s="482"/>
      <c r="AP32" s="483"/>
      <c r="AQ32" s="483"/>
      <c r="AR32" s="483"/>
      <c r="AS32" s="483"/>
      <c r="AT32" s="484"/>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450"/>
      <c r="C33" s="450"/>
      <c r="D33" s="451"/>
      <c r="E33" s="443"/>
      <c r="F33" s="444"/>
      <c r="G33" s="444"/>
      <c r="H33" s="444"/>
      <c r="I33" s="444"/>
      <c r="J33" s="403"/>
      <c r="K33" s="404"/>
      <c r="L33" s="404"/>
      <c r="M33" s="404"/>
      <c r="N33" s="404"/>
      <c r="O33" s="405"/>
      <c r="P33" s="413"/>
      <c r="Q33" s="413"/>
      <c r="R33" s="413"/>
      <c r="S33" s="413"/>
      <c r="T33" s="413"/>
      <c r="U33" s="414"/>
      <c r="V33" s="412"/>
      <c r="W33" s="413"/>
      <c r="X33" s="413"/>
      <c r="Y33" s="413"/>
      <c r="Z33" s="413"/>
      <c r="AA33" s="414"/>
      <c r="AB33" s="430"/>
      <c r="AC33" s="431"/>
      <c r="AD33" s="431"/>
      <c r="AE33" s="431"/>
      <c r="AF33" s="431"/>
      <c r="AG33" s="432"/>
      <c r="AH33" s="421"/>
      <c r="AI33" s="422"/>
      <c r="AJ33" s="422"/>
      <c r="AK33" s="422"/>
      <c r="AL33" s="422"/>
      <c r="AM33" s="423"/>
      <c r="AN33" s="69"/>
      <c r="AO33" s="482"/>
      <c r="AP33" s="483"/>
      <c r="AQ33" s="483"/>
      <c r="AR33" s="483"/>
      <c r="AS33" s="483"/>
      <c r="AT33" s="484"/>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450"/>
      <c r="C34" s="450"/>
      <c r="D34" s="451"/>
      <c r="E34" s="443"/>
      <c r="F34" s="444"/>
      <c r="G34" s="444"/>
      <c r="H34" s="444"/>
      <c r="I34" s="444"/>
      <c r="J34" s="403" t="str">
        <f>IF(AND('Mapa final'!$M$48="Baja",'Mapa final'!$Q$48="Leve"),CONCATENATE("R",'Mapa final'!$A$48),"")</f>
        <v/>
      </c>
      <c r="K34" s="404"/>
      <c r="L34" s="404" t="str">
        <f>IF(AND('Mapa final'!$M$54="Baja",'Mapa final'!$Q$54="Leve"),CONCATENATE("R",'Mapa final'!$A$54),"")</f>
        <v/>
      </c>
      <c r="M34" s="404"/>
      <c r="N34" s="404" t="str">
        <f>IF(AND('Mapa final'!$M$60="Baja",'Mapa final'!$Q$60="Leve"),CONCATENATE("R",'Mapa final'!$A$60),"")</f>
        <v/>
      </c>
      <c r="O34" s="405"/>
      <c r="P34" s="413" t="str">
        <f>IF(AND('Mapa final'!$M$48="Baja",'Mapa final'!$Q$48="Menor"),CONCATENATE("R",'Mapa final'!$A$48),"")</f>
        <v/>
      </c>
      <c r="Q34" s="413"/>
      <c r="R34" s="413" t="str">
        <f>IF(AND('Mapa final'!$M$54="Baja",'Mapa final'!$Q$54="Menor"),CONCATENATE("R",'Mapa final'!$A$54),"")</f>
        <v/>
      </c>
      <c r="S34" s="413"/>
      <c r="T34" s="413" t="str">
        <f>IF(AND('Mapa final'!$M$60="Baja",'Mapa final'!$Q$60="Menor"),CONCATENATE("R",'Mapa final'!$A$60),"")</f>
        <v/>
      </c>
      <c r="U34" s="414"/>
      <c r="V34" s="412" t="str">
        <f>IF(AND('Mapa final'!$M$48="Baja",'Mapa final'!$Q$48="Moderado"),CONCATENATE("R",'Mapa final'!$A$48),"")</f>
        <v/>
      </c>
      <c r="W34" s="413"/>
      <c r="X34" s="413" t="str">
        <f>IF(AND('Mapa final'!$M$54="Baja",'Mapa final'!$Q$54="Moderado"),CONCATENATE("R",'Mapa final'!$A$54),"")</f>
        <v/>
      </c>
      <c r="Y34" s="413"/>
      <c r="Z34" s="413" t="str">
        <f>IF(AND('Mapa final'!$M$60="Baja",'Mapa final'!$Q$60="Moderado"),CONCATENATE("R",'Mapa final'!$A$60),"")</f>
        <v/>
      </c>
      <c r="AA34" s="414"/>
      <c r="AB34" s="430" t="str">
        <f>IF(AND('Mapa final'!$M$48="Baja",'Mapa final'!$Q$48="Mayor"),CONCATENATE("R",'Mapa final'!$A$48),"")</f>
        <v/>
      </c>
      <c r="AC34" s="431"/>
      <c r="AD34" s="431" t="str">
        <f>IF(AND('Mapa final'!$M$54="Baja",'Mapa final'!$Q$54="Mayor"),CONCATENATE("R",'Mapa final'!$A$54),"")</f>
        <v/>
      </c>
      <c r="AE34" s="431"/>
      <c r="AF34" s="431" t="str">
        <f>IF(AND('Mapa final'!$M$60="Baja",'Mapa final'!$Q$60="Mayor"),CONCATENATE("R",'Mapa final'!$A$60),"")</f>
        <v/>
      </c>
      <c r="AG34" s="432"/>
      <c r="AH34" s="421" t="str">
        <f>IF(AND('Mapa final'!$M$48="Baja",'Mapa final'!$Q$48="Catastrófico"),CONCATENATE("R",'Mapa final'!$A$48),"")</f>
        <v/>
      </c>
      <c r="AI34" s="422"/>
      <c r="AJ34" s="422" t="str">
        <f>IF(AND('Mapa final'!$M$54="Baja",'Mapa final'!$Q$54="Catastrófico"),CONCATENATE("R",'Mapa final'!$A$54),"")</f>
        <v>RR8</v>
      </c>
      <c r="AK34" s="422"/>
      <c r="AL34" s="422" t="str">
        <f>IF(AND('Mapa final'!$M$60="Baja",'Mapa final'!$Q$60="Catastrófico"),CONCATENATE("R",'Mapa final'!$A$60),"")</f>
        <v/>
      </c>
      <c r="AM34" s="423"/>
      <c r="AN34" s="69"/>
      <c r="AO34" s="482"/>
      <c r="AP34" s="483"/>
      <c r="AQ34" s="483"/>
      <c r="AR34" s="483"/>
      <c r="AS34" s="483"/>
      <c r="AT34" s="484"/>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450"/>
      <c r="C35" s="450"/>
      <c r="D35" s="451"/>
      <c r="E35" s="443"/>
      <c r="F35" s="444"/>
      <c r="G35" s="444"/>
      <c r="H35" s="444"/>
      <c r="I35" s="444"/>
      <c r="J35" s="403"/>
      <c r="K35" s="404"/>
      <c r="L35" s="404"/>
      <c r="M35" s="404"/>
      <c r="N35" s="404"/>
      <c r="O35" s="405"/>
      <c r="P35" s="413"/>
      <c r="Q35" s="413"/>
      <c r="R35" s="413"/>
      <c r="S35" s="413"/>
      <c r="T35" s="413"/>
      <c r="U35" s="414"/>
      <c r="V35" s="412"/>
      <c r="W35" s="413"/>
      <c r="X35" s="413"/>
      <c r="Y35" s="413"/>
      <c r="Z35" s="413"/>
      <c r="AA35" s="414"/>
      <c r="AB35" s="430"/>
      <c r="AC35" s="431"/>
      <c r="AD35" s="431"/>
      <c r="AE35" s="431"/>
      <c r="AF35" s="431"/>
      <c r="AG35" s="432"/>
      <c r="AH35" s="421"/>
      <c r="AI35" s="422"/>
      <c r="AJ35" s="422"/>
      <c r="AK35" s="422"/>
      <c r="AL35" s="422"/>
      <c r="AM35" s="423"/>
      <c r="AN35" s="69"/>
      <c r="AO35" s="482"/>
      <c r="AP35" s="483"/>
      <c r="AQ35" s="483"/>
      <c r="AR35" s="483"/>
      <c r="AS35" s="483"/>
      <c r="AT35" s="484"/>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450"/>
      <c r="C36" s="450"/>
      <c r="D36" s="451"/>
      <c r="E36" s="443"/>
      <c r="F36" s="444"/>
      <c r="G36" s="444"/>
      <c r="H36" s="444"/>
      <c r="I36" s="444"/>
      <c r="J36" s="403" t="str">
        <f>IF(AND('Mapa final'!$M$66="Baja",'Mapa final'!$Q$66="Leve"),CONCATENATE("R",'Mapa final'!$A$66),"")</f>
        <v/>
      </c>
      <c r="K36" s="404"/>
      <c r="L36" s="404" t="str">
        <f>IF(AND('Mapa final'!$M$72="Baja",'Mapa final'!$Q$72="Leve"),CONCATENATE("R",'Mapa final'!$A$72),"")</f>
        <v/>
      </c>
      <c r="M36" s="404"/>
      <c r="N36" s="404" t="str">
        <f>IF(AND('Mapa final'!$M$78="Baja",'Mapa final'!$Q$78="Leve"),CONCATENATE("R",'Mapa final'!$A$78),"")</f>
        <v/>
      </c>
      <c r="O36" s="405"/>
      <c r="P36" s="413" t="str">
        <f>IF(AND('Mapa final'!$M$66="Baja",'Mapa final'!$Q$66="Menor"),CONCATENATE("R",'Mapa final'!$A$66),"")</f>
        <v/>
      </c>
      <c r="Q36" s="413"/>
      <c r="R36" s="413" t="str">
        <f>IF(AND('Mapa final'!$M$72="Baja",'Mapa final'!$Q$72="Menor"),CONCATENATE("R",'Mapa final'!$A$72),"")</f>
        <v/>
      </c>
      <c r="S36" s="413"/>
      <c r="T36" s="413" t="str">
        <f>IF(AND('Mapa final'!$M$78="Baja",'Mapa final'!$Q$78="Menor"),CONCATENATE("R",'Mapa final'!$A$78),"")</f>
        <v/>
      </c>
      <c r="U36" s="414"/>
      <c r="V36" s="412" t="str">
        <f>IF(AND('Mapa final'!$M$66="Baja",'Mapa final'!$Q$66="Moderado"),CONCATENATE("R",'Mapa final'!$A$66),"")</f>
        <v/>
      </c>
      <c r="W36" s="413"/>
      <c r="X36" s="413" t="str">
        <f>IF(AND('Mapa final'!$M$72="Baja",'Mapa final'!$Q$72="Moderado"),CONCATENATE("R",'Mapa final'!$A$72),"")</f>
        <v/>
      </c>
      <c r="Y36" s="413"/>
      <c r="Z36" s="413" t="str">
        <f>IF(AND('Mapa final'!$M$78="Baja",'Mapa final'!$Q$78="Moderado"),CONCATENATE("R",'Mapa final'!$A$78),"")</f>
        <v/>
      </c>
      <c r="AA36" s="414"/>
      <c r="AB36" s="430" t="str">
        <f>IF(AND('Mapa final'!$M$66="Baja",'Mapa final'!$Q$66="Mayor"),CONCATENATE("R",'Mapa final'!$A$66),"")</f>
        <v/>
      </c>
      <c r="AC36" s="431"/>
      <c r="AD36" s="431" t="str">
        <f>IF(AND('Mapa final'!$M$72="Baja",'Mapa final'!$Q$72="Mayor"),CONCATENATE("R",'Mapa final'!$A$72),"")</f>
        <v/>
      </c>
      <c r="AE36" s="431"/>
      <c r="AF36" s="431" t="str">
        <f>IF(AND('Mapa final'!$M$78="Baja",'Mapa final'!$Q$78="Mayor"),CONCATENATE("R",'Mapa final'!$A$78),"")</f>
        <v/>
      </c>
      <c r="AG36" s="432"/>
      <c r="AH36" s="421" t="str">
        <f>IF(AND('Mapa final'!$M$66="Baja",'Mapa final'!$Q$66="Catastrófico"),CONCATENATE("R",'Mapa final'!$A$66),"")</f>
        <v/>
      </c>
      <c r="AI36" s="422"/>
      <c r="AJ36" s="422" t="str">
        <f>IF(AND('Mapa final'!$M$72="Baja",'Mapa final'!$Q$72="Catastrófico"),CONCATENATE("R",'Mapa final'!$A$72),"")</f>
        <v/>
      </c>
      <c r="AK36" s="422"/>
      <c r="AL36" s="422" t="str">
        <f>IF(AND('Mapa final'!$M$78="Baja",'Mapa final'!$Q$78="Catastrófico"),CONCATENATE("R",'Mapa final'!$A$78),"")</f>
        <v/>
      </c>
      <c r="AM36" s="423"/>
      <c r="AN36" s="69"/>
      <c r="AO36" s="482"/>
      <c r="AP36" s="483"/>
      <c r="AQ36" s="483"/>
      <c r="AR36" s="483"/>
      <c r="AS36" s="483"/>
      <c r="AT36" s="484"/>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450"/>
      <c r="C37" s="450"/>
      <c r="D37" s="451"/>
      <c r="E37" s="446"/>
      <c r="F37" s="447"/>
      <c r="G37" s="447"/>
      <c r="H37" s="447"/>
      <c r="I37" s="447"/>
      <c r="J37" s="406"/>
      <c r="K37" s="407"/>
      <c r="L37" s="407"/>
      <c r="M37" s="407"/>
      <c r="N37" s="407"/>
      <c r="O37" s="408"/>
      <c r="P37" s="416"/>
      <c r="Q37" s="416"/>
      <c r="R37" s="416"/>
      <c r="S37" s="416"/>
      <c r="T37" s="416"/>
      <c r="U37" s="417"/>
      <c r="V37" s="415"/>
      <c r="W37" s="416"/>
      <c r="X37" s="416"/>
      <c r="Y37" s="416"/>
      <c r="Z37" s="416"/>
      <c r="AA37" s="417"/>
      <c r="AB37" s="433"/>
      <c r="AC37" s="434"/>
      <c r="AD37" s="434"/>
      <c r="AE37" s="434"/>
      <c r="AF37" s="434"/>
      <c r="AG37" s="435"/>
      <c r="AH37" s="424"/>
      <c r="AI37" s="425"/>
      <c r="AJ37" s="425"/>
      <c r="AK37" s="425"/>
      <c r="AL37" s="425"/>
      <c r="AM37" s="426"/>
      <c r="AN37" s="69"/>
      <c r="AO37" s="485"/>
      <c r="AP37" s="486"/>
      <c r="AQ37" s="486"/>
      <c r="AR37" s="486"/>
      <c r="AS37" s="486"/>
      <c r="AT37" s="487"/>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450"/>
      <c r="C38" s="450"/>
      <c r="D38" s="451"/>
      <c r="E38" s="440" t="s">
        <v>113</v>
      </c>
      <c r="F38" s="441"/>
      <c r="G38" s="441"/>
      <c r="H38" s="441"/>
      <c r="I38" s="442"/>
      <c r="J38" s="409" t="str">
        <f>IF(AND('Mapa final'!$M$12="Muy Baja",'Mapa final'!$Q$12="Leve"),CONCATENATE("R",'Mapa final'!$A$12),"")</f>
        <v/>
      </c>
      <c r="K38" s="410"/>
      <c r="L38" s="410" t="str">
        <f>IF(AND('Mapa final'!$M$18="Muy Baja",'Mapa final'!$Q$18="Leve"),CONCATENATE("R",'Mapa final'!$A$18),"")</f>
        <v/>
      </c>
      <c r="M38" s="410"/>
      <c r="N38" s="410" t="str">
        <f>IF(AND('Mapa final'!$M$24="Muy Baja",'Mapa final'!$Q$24="Leve"),CONCATENATE("R",'Mapa final'!$A$24),"")</f>
        <v/>
      </c>
      <c r="O38" s="411"/>
      <c r="P38" s="409" t="str">
        <f>IF(AND('Mapa final'!$M$12="Muy Baja",'Mapa final'!$Q$12="Menor"),CONCATENATE("R",'Mapa final'!$A$12),"")</f>
        <v/>
      </c>
      <c r="Q38" s="410"/>
      <c r="R38" s="410" t="str">
        <f>IF(AND('Mapa final'!$M$18="Muy Baja",'Mapa final'!$Q$18="Menor"),CONCATENATE("R",'Mapa final'!$A$18),"")</f>
        <v/>
      </c>
      <c r="S38" s="410"/>
      <c r="T38" s="410" t="str">
        <f>IF(AND('Mapa final'!$M$24="Muy Baja",'Mapa final'!$Q$24="Menor"),CONCATENATE("R",'Mapa final'!$A$24),"")</f>
        <v/>
      </c>
      <c r="U38" s="411"/>
      <c r="V38" s="418" t="str">
        <f>IF(AND('Mapa final'!$M$12="Muy Baja",'Mapa final'!$Q$12="Moderado"),CONCATENATE("R",'Mapa final'!$A$12),"")</f>
        <v/>
      </c>
      <c r="W38" s="419"/>
      <c r="X38" s="419" t="str">
        <f>IF(AND('Mapa final'!$M$18="Muy Baja",'Mapa final'!$Q$18="Moderado"),CONCATENATE("R",'Mapa final'!$A$18),"")</f>
        <v/>
      </c>
      <c r="Y38" s="419"/>
      <c r="Z38" s="419" t="str">
        <f>IF(AND('Mapa final'!$M$24="Muy Baja",'Mapa final'!$Q$24="Moderado"),CONCATENATE("R",'Mapa final'!$A$24),"")</f>
        <v/>
      </c>
      <c r="AA38" s="420"/>
      <c r="AB38" s="436" t="str">
        <f>IF(AND('Mapa final'!$M$12="Muy Baja",'Mapa final'!$Q$12="Mayor"),CONCATENATE("R",'Mapa final'!$A$12),"")</f>
        <v/>
      </c>
      <c r="AC38" s="437"/>
      <c r="AD38" s="437" t="str">
        <f>IF(AND('Mapa final'!$M$18="Muy Baja",'Mapa final'!$Q$18="Mayor"),CONCATENATE("R",'Mapa final'!$A$18),"")</f>
        <v/>
      </c>
      <c r="AE38" s="437"/>
      <c r="AF38" s="437" t="str">
        <f>IF(AND('Mapa final'!$M$24="Muy Baja",'Mapa final'!$Q$24="Mayor"),CONCATENATE("R",'Mapa final'!$A$24),"")</f>
        <v/>
      </c>
      <c r="AG38" s="438"/>
      <c r="AH38" s="427" t="str">
        <f>IF(AND('Mapa final'!$M$12="Muy Baja",'Mapa final'!$Q$12="Catastrófico"),CONCATENATE("R",'Mapa final'!$A$12),"")</f>
        <v/>
      </c>
      <c r="AI38" s="428"/>
      <c r="AJ38" s="428" t="str">
        <f>IF(AND('Mapa final'!$M$18="Muy Baja",'Mapa final'!$Q$18="Catastrófico"),CONCATENATE("R",'Mapa final'!$A$18),"")</f>
        <v/>
      </c>
      <c r="AK38" s="428"/>
      <c r="AL38" s="428" t="str">
        <f>IF(AND('Mapa final'!$M$24="Muy Baja",'Mapa final'!$Q$24="Catastrófico"),CONCATENATE("R",'Mapa final'!$A$24),"")</f>
        <v/>
      </c>
      <c r="AM38" s="42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450"/>
      <c r="C39" s="450"/>
      <c r="D39" s="451"/>
      <c r="E39" s="443"/>
      <c r="F39" s="444"/>
      <c r="G39" s="444"/>
      <c r="H39" s="444"/>
      <c r="I39" s="445"/>
      <c r="J39" s="403"/>
      <c r="K39" s="404"/>
      <c r="L39" s="404"/>
      <c r="M39" s="404"/>
      <c r="N39" s="404"/>
      <c r="O39" s="405"/>
      <c r="P39" s="403"/>
      <c r="Q39" s="404"/>
      <c r="R39" s="404"/>
      <c r="S39" s="404"/>
      <c r="T39" s="404"/>
      <c r="U39" s="405"/>
      <c r="V39" s="412"/>
      <c r="W39" s="413"/>
      <c r="X39" s="413"/>
      <c r="Y39" s="413"/>
      <c r="Z39" s="413"/>
      <c r="AA39" s="414"/>
      <c r="AB39" s="430"/>
      <c r="AC39" s="431"/>
      <c r="AD39" s="431"/>
      <c r="AE39" s="431"/>
      <c r="AF39" s="431"/>
      <c r="AG39" s="432"/>
      <c r="AH39" s="421"/>
      <c r="AI39" s="422"/>
      <c r="AJ39" s="422"/>
      <c r="AK39" s="422"/>
      <c r="AL39" s="422"/>
      <c r="AM39" s="423"/>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450"/>
      <c r="C40" s="450"/>
      <c r="D40" s="451"/>
      <c r="E40" s="443"/>
      <c r="F40" s="444"/>
      <c r="G40" s="444"/>
      <c r="H40" s="444"/>
      <c r="I40" s="445"/>
      <c r="J40" s="403" t="str">
        <f>IF(AND('Mapa final'!$M$30="Muy Baja",'Mapa final'!$Q$30="Leve"),CONCATENATE("R",'Mapa final'!$A$30),"")</f>
        <v/>
      </c>
      <c r="K40" s="404"/>
      <c r="L40" s="404" t="str">
        <f>IF(AND('Mapa final'!$M$36="Muy Baja",'Mapa final'!$Q$36="Leve"),CONCATENATE("R",'Mapa final'!$A$36),"")</f>
        <v/>
      </c>
      <c r="M40" s="404"/>
      <c r="N40" s="404" t="str">
        <f>IF(AND('Mapa final'!$M$42="Muy Baja",'Mapa final'!$Q$42="Leve"),CONCATENATE("R",'Mapa final'!$A$42),"")</f>
        <v/>
      </c>
      <c r="O40" s="405"/>
      <c r="P40" s="403" t="str">
        <f>IF(AND('Mapa final'!$M$30="Muy Baja",'Mapa final'!$Q$30="Menor"),CONCATENATE("R",'Mapa final'!$A$30),"")</f>
        <v/>
      </c>
      <c r="Q40" s="404"/>
      <c r="R40" s="404" t="str">
        <f>IF(AND('Mapa final'!$M$36="Muy Baja",'Mapa final'!$Q$36="Menor"),CONCATENATE("R",'Mapa final'!$A$36),"")</f>
        <v/>
      </c>
      <c r="S40" s="404"/>
      <c r="T40" s="404" t="str">
        <f>IF(AND('Mapa final'!$M$42="Muy Baja",'Mapa final'!$Q$42="Menor"),CONCATENATE("R",'Mapa final'!$A$42),"")</f>
        <v/>
      </c>
      <c r="U40" s="405"/>
      <c r="V40" s="412" t="str">
        <f>IF(AND('Mapa final'!$M$30="Muy Baja",'Mapa final'!$Q$30="Moderado"),CONCATENATE("R",'Mapa final'!$A$30),"")</f>
        <v/>
      </c>
      <c r="W40" s="413"/>
      <c r="X40" s="413" t="str">
        <f>IF(AND('Mapa final'!$M$36="Muy Baja",'Mapa final'!$Q$36="Moderado"),CONCATENATE("R",'Mapa final'!$A$36),"")</f>
        <v/>
      </c>
      <c r="Y40" s="413"/>
      <c r="Z40" s="413" t="str">
        <f>IF(AND('Mapa final'!$M$42="Muy Baja",'Mapa final'!$Q$42="Moderado"),CONCATENATE("R",'Mapa final'!$A$42),"")</f>
        <v/>
      </c>
      <c r="AA40" s="414"/>
      <c r="AB40" s="430" t="str">
        <f>IF(AND('Mapa final'!$M$30="Muy Baja",'Mapa final'!$Q$30="Mayor"),CONCATENATE("R",'Mapa final'!$A$30),"")</f>
        <v/>
      </c>
      <c r="AC40" s="431"/>
      <c r="AD40" s="431" t="str">
        <f>IF(AND('Mapa final'!$M$36="Muy Baja",'Mapa final'!$Q$36="Mayor"),CONCATENATE("R",'Mapa final'!$A$36),"")</f>
        <v/>
      </c>
      <c r="AE40" s="431"/>
      <c r="AF40" s="431" t="str">
        <f>IF(AND('Mapa final'!$M$42="Muy Baja",'Mapa final'!$Q$42="Mayor"),CONCATENATE("R",'Mapa final'!$A$42),"")</f>
        <v/>
      </c>
      <c r="AG40" s="432"/>
      <c r="AH40" s="421" t="str">
        <f>IF(AND('Mapa final'!$M$30="Muy Baja",'Mapa final'!$Q$30="Catastrófico"),CONCATENATE("R",'Mapa final'!$A$30),"")</f>
        <v/>
      </c>
      <c r="AI40" s="422"/>
      <c r="AJ40" s="422" t="str">
        <f>IF(AND('Mapa final'!$M$36="Muy Baja",'Mapa final'!$Q$36="Catastrófico"),CONCATENATE("R",'Mapa final'!$A$36),"")</f>
        <v/>
      </c>
      <c r="AK40" s="422"/>
      <c r="AL40" s="422" t="str">
        <f>IF(AND('Mapa final'!$M$42="Muy Baja",'Mapa final'!$Q$42="Catastrófico"),CONCATENATE("R",'Mapa final'!$A$42),"")</f>
        <v/>
      </c>
      <c r="AM40" s="423"/>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450"/>
      <c r="C41" s="450"/>
      <c r="D41" s="451"/>
      <c r="E41" s="443"/>
      <c r="F41" s="444"/>
      <c r="G41" s="444"/>
      <c r="H41" s="444"/>
      <c r="I41" s="445"/>
      <c r="J41" s="403"/>
      <c r="K41" s="404"/>
      <c r="L41" s="404"/>
      <c r="M41" s="404"/>
      <c r="N41" s="404"/>
      <c r="O41" s="405"/>
      <c r="P41" s="403"/>
      <c r="Q41" s="404"/>
      <c r="R41" s="404"/>
      <c r="S41" s="404"/>
      <c r="T41" s="404"/>
      <c r="U41" s="405"/>
      <c r="V41" s="412"/>
      <c r="W41" s="413"/>
      <c r="X41" s="413"/>
      <c r="Y41" s="413"/>
      <c r="Z41" s="413"/>
      <c r="AA41" s="414"/>
      <c r="AB41" s="430"/>
      <c r="AC41" s="431"/>
      <c r="AD41" s="431"/>
      <c r="AE41" s="431"/>
      <c r="AF41" s="431"/>
      <c r="AG41" s="432"/>
      <c r="AH41" s="421"/>
      <c r="AI41" s="422"/>
      <c r="AJ41" s="422"/>
      <c r="AK41" s="422"/>
      <c r="AL41" s="422"/>
      <c r="AM41" s="423"/>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450"/>
      <c r="C42" s="450"/>
      <c r="D42" s="451"/>
      <c r="E42" s="443"/>
      <c r="F42" s="444"/>
      <c r="G42" s="444"/>
      <c r="H42" s="444"/>
      <c r="I42" s="445"/>
      <c r="J42" s="403" t="str">
        <f>IF(AND('Mapa final'!$M$48="Muy Baja",'Mapa final'!$Q$48="Leve"),CONCATENATE("R",'Mapa final'!$A$48),"")</f>
        <v/>
      </c>
      <c r="K42" s="404"/>
      <c r="L42" s="404" t="str">
        <f>IF(AND('Mapa final'!$M$54="Muy Baja",'Mapa final'!$Q$54="Leve"),CONCATENATE("R",'Mapa final'!$A$54),"")</f>
        <v/>
      </c>
      <c r="M42" s="404"/>
      <c r="N42" s="404" t="str">
        <f>IF(AND('Mapa final'!$M$60="Muy Baja",'Mapa final'!$Q$60="Leve"),CONCATENATE("R",'Mapa final'!$A$60),"")</f>
        <v/>
      </c>
      <c r="O42" s="405"/>
      <c r="P42" s="403" t="str">
        <f>IF(AND('Mapa final'!$M$48="Muy Baja",'Mapa final'!$Q$48="Menor"),CONCATENATE("R",'Mapa final'!$A$48),"")</f>
        <v/>
      </c>
      <c r="Q42" s="404"/>
      <c r="R42" s="404" t="str">
        <f>IF(AND('Mapa final'!$M$54="Muy Baja",'Mapa final'!$Q$54="Menor"),CONCATENATE("R",'Mapa final'!$A$54),"")</f>
        <v/>
      </c>
      <c r="S42" s="404"/>
      <c r="T42" s="404" t="str">
        <f>IF(AND('Mapa final'!$M$60="Muy Baja",'Mapa final'!$Q$60="Menor"),CONCATENATE("R",'Mapa final'!$A$60),"")</f>
        <v/>
      </c>
      <c r="U42" s="405"/>
      <c r="V42" s="412" t="str">
        <f>IF(AND('Mapa final'!$M$48="Muy Baja",'Mapa final'!$Q$48="Moderado"),CONCATENATE("R",'Mapa final'!$A$48),"")</f>
        <v/>
      </c>
      <c r="W42" s="413"/>
      <c r="X42" s="413" t="str">
        <f>IF(AND('Mapa final'!$M$54="Muy Baja",'Mapa final'!$Q$54="Moderado"),CONCATENATE("R",'Mapa final'!$A$54),"")</f>
        <v/>
      </c>
      <c r="Y42" s="413"/>
      <c r="Z42" s="413" t="str">
        <f>IF(AND('Mapa final'!$M$60="Muy Baja",'Mapa final'!$Q$60="Moderado"),CONCATENATE("R",'Mapa final'!$A$60),"")</f>
        <v/>
      </c>
      <c r="AA42" s="414"/>
      <c r="AB42" s="430" t="str">
        <f>IF(AND('Mapa final'!$M$48="Muy Baja",'Mapa final'!$Q$48="Mayor"),CONCATENATE("R",'Mapa final'!$A$48),"")</f>
        <v/>
      </c>
      <c r="AC42" s="431"/>
      <c r="AD42" s="431" t="str">
        <f>IF(AND('Mapa final'!$M$54="Muy Baja",'Mapa final'!$Q$54="Mayor"),CONCATENATE("R",'Mapa final'!$A$54),"")</f>
        <v/>
      </c>
      <c r="AE42" s="431"/>
      <c r="AF42" s="431" t="str">
        <f>IF(AND('Mapa final'!$M$60="Muy Baja",'Mapa final'!$Q$60="Mayor"),CONCATENATE("R",'Mapa final'!$A$60),"")</f>
        <v/>
      </c>
      <c r="AG42" s="432"/>
      <c r="AH42" s="421" t="str">
        <f>IF(AND('Mapa final'!$M$48="Muy Baja",'Mapa final'!$Q$48="Catastrófico"),CONCATENATE("R",'Mapa final'!$A$48),"")</f>
        <v/>
      </c>
      <c r="AI42" s="422"/>
      <c r="AJ42" s="422" t="str">
        <f>IF(AND('Mapa final'!$M$54="Muy Baja",'Mapa final'!$Q$54="Catastrófico"),CONCATENATE("R",'Mapa final'!$A$54),"")</f>
        <v/>
      </c>
      <c r="AK42" s="422"/>
      <c r="AL42" s="422" t="str">
        <f>IF(AND('Mapa final'!$M$60="Muy Baja",'Mapa final'!$Q$60="Catastrófico"),CONCATENATE("R",'Mapa final'!$A$60),"")</f>
        <v/>
      </c>
      <c r="AM42" s="423"/>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450"/>
      <c r="C43" s="450"/>
      <c r="D43" s="451"/>
      <c r="E43" s="443"/>
      <c r="F43" s="444"/>
      <c r="G43" s="444"/>
      <c r="H43" s="444"/>
      <c r="I43" s="445"/>
      <c r="J43" s="403"/>
      <c r="K43" s="404"/>
      <c r="L43" s="404"/>
      <c r="M43" s="404"/>
      <c r="N43" s="404"/>
      <c r="O43" s="405"/>
      <c r="P43" s="403"/>
      <c r="Q43" s="404"/>
      <c r="R43" s="404"/>
      <c r="S43" s="404"/>
      <c r="T43" s="404"/>
      <c r="U43" s="405"/>
      <c r="V43" s="412"/>
      <c r="W43" s="413"/>
      <c r="X43" s="413"/>
      <c r="Y43" s="413"/>
      <c r="Z43" s="413"/>
      <c r="AA43" s="414"/>
      <c r="AB43" s="430"/>
      <c r="AC43" s="431"/>
      <c r="AD43" s="431"/>
      <c r="AE43" s="431"/>
      <c r="AF43" s="431"/>
      <c r="AG43" s="432"/>
      <c r="AH43" s="421"/>
      <c r="AI43" s="422"/>
      <c r="AJ43" s="422"/>
      <c r="AK43" s="422"/>
      <c r="AL43" s="422"/>
      <c r="AM43" s="423"/>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450"/>
      <c r="C44" s="450"/>
      <c r="D44" s="451"/>
      <c r="E44" s="443"/>
      <c r="F44" s="444"/>
      <c r="G44" s="444"/>
      <c r="H44" s="444"/>
      <c r="I44" s="445"/>
      <c r="J44" s="403" t="str">
        <f>IF(AND('Mapa final'!$M$66="Muy Baja",'Mapa final'!$Q$66="Leve"),CONCATENATE("R",'Mapa final'!$A$66),"")</f>
        <v/>
      </c>
      <c r="K44" s="404"/>
      <c r="L44" s="404" t="str">
        <f>IF(AND('Mapa final'!$M$72="Muy Baja",'Mapa final'!$Q$72="Leve"),CONCATENATE("R",'Mapa final'!$A$72),"")</f>
        <v/>
      </c>
      <c r="M44" s="404"/>
      <c r="N44" s="404" t="str">
        <f>IF(AND('Mapa final'!$M$78="Muy Baja",'Mapa final'!$Q$78="Leve"),CONCATENATE("R",'Mapa final'!$A$78),"")</f>
        <v/>
      </c>
      <c r="O44" s="405"/>
      <c r="P44" s="403" t="str">
        <f>IF(AND('Mapa final'!$M$66="Muy Baja",'Mapa final'!$Q$66="Menor"),CONCATENATE("R",'Mapa final'!$A$66),"")</f>
        <v/>
      </c>
      <c r="Q44" s="404"/>
      <c r="R44" s="404" t="str">
        <f>IF(AND('Mapa final'!$M$72="Muy Baja",'Mapa final'!$Q$72="Menor"),CONCATENATE("R",'Mapa final'!$A$72),"")</f>
        <v/>
      </c>
      <c r="S44" s="404"/>
      <c r="T44" s="404" t="str">
        <f>IF(AND('Mapa final'!$M$78="Muy Baja",'Mapa final'!$Q$78="Menor"),CONCATENATE("R",'Mapa final'!$A$78),"")</f>
        <v/>
      </c>
      <c r="U44" s="405"/>
      <c r="V44" s="412" t="str">
        <f>IF(AND('Mapa final'!$M$66="Muy Baja",'Mapa final'!$Q$66="Moderado"),CONCATENATE("R",'Mapa final'!$A$66),"")</f>
        <v/>
      </c>
      <c r="W44" s="413"/>
      <c r="X44" s="413" t="str">
        <f>IF(AND('Mapa final'!$M$72="Muy Baja",'Mapa final'!$Q$72="Moderado"),CONCATENATE("R",'Mapa final'!$A$72),"")</f>
        <v/>
      </c>
      <c r="Y44" s="413"/>
      <c r="Z44" s="413" t="str">
        <f>IF(AND('Mapa final'!$M$78="Muy Baja",'Mapa final'!$Q$78="Moderado"),CONCATENATE("R",'Mapa final'!$A$78),"")</f>
        <v/>
      </c>
      <c r="AA44" s="414"/>
      <c r="AB44" s="430" t="str">
        <f>IF(AND('Mapa final'!$M$66="Muy Baja",'Mapa final'!$Q$66="Mayor"),CONCATENATE("R",'Mapa final'!$A$66),"")</f>
        <v/>
      </c>
      <c r="AC44" s="431"/>
      <c r="AD44" s="431" t="str">
        <f>IF(AND('Mapa final'!$M$72="Muy Baja",'Mapa final'!$Q$72="Mayor"),CONCATENATE("R",'Mapa final'!$A$72),"")</f>
        <v/>
      </c>
      <c r="AE44" s="431"/>
      <c r="AF44" s="431" t="str">
        <f>IF(AND('Mapa final'!$M$78="Muy Baja",'Mapa final'!$Q$78="Mayor"),CONCATENATE("R",'Mapa final'!$A$78),"")</f>
        <v/>
      </c>
      <c r="AG44" s="432"/>
      <c r="AH44" s="421" t="str">
        <f>IF(AND('Mapa final'!$M$66="Muy Baja",'Mapa final'!$Q$66="Catastrófico"),CONCATENATE("R",'Mapa final'!$A$66),"")</f>
        <v/>
      </c>
      <c r="AI44" s="422"/>
      <c r="AJ44" s="422" t="str">
        <f>IF(AND('Mapa final'!$M$72="Muy Baja",'Mapa final'!$Q$72="Catastrófico"),CONCATENATE("R",'Mapa final'!$A$72),"")</f>
        <v/>
      </c>
      <c r="AK44" s="422"/>
      <c r="AL44" s="422" t="str">
        <f>IF(AND('Mapa final'!$M$78="Muy Baja",'Mapa final'!$Q$78="Catastrófico"),CONCATENATE("R",'Mapa final'!$A$78),"")</f>
        <v/>
      </c>
      <c r="AM44" s="423"/>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450"/>
      <c r="C45" s="450"/>
      <c r="D45" s="451"/>
      <c r="E45" s="446"/>
      <c r="F45" s="447"/>
      <c r="G45" s="447"/>
      <c r="H45" s="447"/>
      <c r="I45" s="448"/>
      <c r="J45" s="406"/>
      <c r="K45" s="407"/>
      <c r="L45" s="407"/>
      <c r="M45" s="407"/>
      <c r="N45" s="407"/>
      <c r="O45" s="408"/>
      <c r="P45" s="406"/>
      <c r="Q45" s="407"/>
      <c r="R45" s="407"/>
      <c r="S45" s="407"/>
      <c r="T45" s="407"/>
      <c r="U45" s="408"/>
      <c r="V45" s="415"/>
      <c r="W45" s="416"/>
      <c r="X45" s="416"/>
      <c r="Y45" s="416"/>
      <c r="Z45" s="416"/>
      <c r="AA45" s="417"/>
      <c r="AB45" s="433"/>
      <c r="AC45" s="434"/>
      <c r="AD45" s="434"/>
      <c r="AE45" s="434"/>
      <c r="AF45" s="434"/>
      <c r="AG45" s="435"/>
      <c r="AH45" s="424"/>
      <c r="AI45" s="425"/>
      <c r="AJ45" s="425"/>
      <c r="AK45" s="425"/>
      <c r="AL45" s="425"/>
      <c r="AM45" s="426"/>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440" t="s">
        <v>112</v>
      </c>
      <c r="K46" s="441"/>
      <c r="L46" s="441"/>
      <c r="M46" s="441"/>
      <c r="N46" s="441"/>
      <c r="O46" s="442"/>
      <c r="P46" s="440" t="s">
        <v>111</v>
      </c>
      <c r="Q46" s="441"/>
      <c r="R46" s="441"/>
      <c r="S46" s="441"/>
      <c r="T46" s="441"/>
      <c r="U46" s="442"/>
      <c r="V46" s="440" t="s">
        <v>110</v>
      </c>
      <c r="W46" s="441"/>
      <c r="X46" s="441"/>
      <c r="Y46" s="441"/>
      <c r="Z46" s="441"/>
      <c r="AA46" s="442"/>
      <c r="AB46" s="440" t="s">
        <v>109</v>
      </c>
      <c r="AC46" s="449"/>
      <c r="AD46" s="441"/>
      <c r="AE46" s="441"/>
      <c r="AF46" s="441"/>
      <c r="AG46" s="442"/>
      <c r="AH46" s="440" t="s">
        <v>108</v>
      </c>
      <c r="AI46" s="441"/>
      <c r="AJ46" s="441"/>
      <c r="AK46" s="441"/>
      <c r="AL46" s="441"/>
      <c r="AM46" s="442"/>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443"/>
      <c r="K47" s="444"/>
      <c r="L47" s="444"/>
      <c r="M47" s="444"/>
      <c r="N47" s="444"/>
      <c r="O47" s="445"/>
      <c r="P47" s="443"/>
      <c r="Q47" s="444"/>
      <c r="R47" s="444"/>
      <c r="S47" s="444"/>
      <c r="T47" s="444"/>
      <c r="U47" s="445"/>
      <c r="V47" s="443"/>
      <c r="W47" s="444"/>
      <c r="X47" s="444"/>
      <c r="Y47" s="444"/>
      <c r="Z47" s="444"/>
      <c r="AA47" s="445"/>
      <c r="AB47" s="443"/>
      <c r="AC47" s="444"/>
      <c r="AD47" s="444"/>
      <c r="AE47" s="444"/>
      <c r="AF47" s="444"/>
      <c r="AG47" s="445"/>
      <c r="AH47" s="443"/>
      <c r="AI47" s="444"/>
      <c r="AJ47" s="444"/>
      <c r="AK47" s="444"/>
      <c r="AL47" s="444"/>
      <c r="AM47" s="445"/>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443"/>
      <c r="K48" s="444"/>
      <c r="L48" s="444"/>
      <c r="M48" s="444"/>
      <c r="N48" s="444"/>
      <c r="O48" s="445"/>
      <c r="P48" s="443"/>
      <c r="Q48" s="444"/>
      <c r="R48" s="444"/>
      <c r="S48" s="444"/>
      <c r="T48" s="444"/>
      <c r="U48" s="445"/>
      <c r="V48" s="443"/>
      <c r="W48" s="444"/>
      <c r="X48" s="444"/>
      <c r="Y48" s="444"/>
      <c r="Z48" s="444"/>
      <c r="AA48" s="445"/>
      <c r="AB48" s="443"/>
      <c r="AC48" s="444"/>
      <c r="AD48" s="444"/>
      <c r="AE48" s="444"/>
      <c r="AF48" s="444"/>
      <c r="AG48" s="445"/>
      <c r="AH48" s="443"/>
      <c r="AI48" s="444"/>
      <c r="AJ48" s="444"/>
      <c r="AK48" s="444"/>
      <c r="AL48" s="444"/>
      <c r="AM48" s="445"/>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443"/>
      <c r="K49" s="444"/>
      <c r="L49" s="444"/>
      <c r="M49" s="444"/>
      <c r="N49" s="444"/>
      <c r="O49" s="445"/>
      <c r="P49" s="443"/>
      <c r="Q49" s="444"/>
      <c r="R49" s="444"/>
      <c r="S49" s="444"/>
      <c r="T49" s="444"/>
      <c r="U49" s="445"/>
      <c r="V49" s="443"/>
      <c r="W49" s="444"/>
      <c r="X49" s="444"/>
      <c r="Y49" s="444"/>
      <c r="Z49" s="444"/>
      <c r="AA49" s="445"/>
      <c r="AB49" s="443"/>
      <c r="AC49" s="444"/>
      <c r="AD49" s="444"/>
      <c r="AE49" s="444"/>
      <c r="AF49" s="444"/>
      <c r="AG49" s="445"/>
      <c r="AH49" s="443"/>
      <c r="AI49" s="444"/>
      <c r="AJ49" s="444"/>
      <c r="AK49" s="444"/>
      <c r="AL49" s="444"/>
      <c r="AM49" s="445"/>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443"/>
      <c r="K50" s="444"/>
      <c r="L50" s="444"/>
      <c r="M50" s="444"/>
      <c r="N50" s="444"/>
      <c r="O50" s="445"/>
      <c r="P50" s="443"/>
      <c r="Q50" s="444"/>
      <c r="R50" s="444"/>
      <c r="S50" s="444"/>
      <c r="T50" s="444"/>
      <c r="U50" s="445"/>
      <c r="V50" s="443"/>
      <c r="W50" s="444"/>
      <c r="X50" s="444"/>
      <c r="Y50" s="444"/>
      <c r="Z50" s="444"/>
      <c r="AA50" s="445"/>
      <c r="AB50" s="443"/>
      <c r="AC50" s="444"/>
      <c r="AD50" s="444"/>
      <c r="AE50" s="444"/>
      <c r="AF50" s="444"/>
      <c r="AG50" s="445"/>
      <c r="AH50" s="443"/>
      <c r="AI50" s="444"/>
      <c r="AJ50" s="444"/>
      <c r="AK50" s="444"/>
      <c r="AL50" s="444"/>
      <c r="AM50" s="445"/>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446"/>
      <c r="K51" s="447"/>
      <c r="L51" s="447"/>
      <c r="M51" s="447"/>
      <c r="N51" s="447"/>
      <c r="O51" s="448"/>
      <c r="P51" s="446"/>
      <c r="Q51" s="447"/>
      <c r="R51" s="447"/>
      <c r="S51" s="447"/>
      <c r="T51" s="447"/>
      <c r="U51" s="448"/>
      <c r="V51" s="446"/>
      <c r="W51" s="447"/>
      <c r="X51" s="447"/>
      <c r="Y51" s="447"/>
      <c r="Z51" s="447"/>
      <c r="AA51" s="448"/>
      <c r="AB51" s="446"/>
      <c r="AC51" s="447"/>
      <c r="AD51" s="447"/>
      <c r="AE51" s="447"/>
      <c r="AF51" s="447"/>
      <c r="AG51" s="448"/>
      <c r="AH51" s="446"/>
      <c r="AI51" s="447"/>
      <c r="AJ51" s="447"/>
      <c r="AK51" s="447"/>
      <c r="AL51" s="447"/>
      <c r="AM51" s="44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zoomScale="50" zoomScaleNormal="50" workbookViewId="0">
      <selection activeCell="B2" sqref="B2:AT6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517" t="s">
        <v>157</v>
      </c>
      <c r="C2" s="518"/>
      <c r="D2" s="518"/>
      <c r="E2" s="518"/>
      <c r="F2" s="518"/>
      <c r="G2" s="518"/>
      <c r="H2" s="518"/>
      <c r="I2" s="518"/>
      <c r="J2" s="439" t="s">
        <v>2</v>
      </c>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518"/>
      <c r="C3" s="518"/>
      <c r="D3" s="518"/>
      <c r="E3" s="518"/>
      <c r="F3" s="518"/>
      <c r="G3" s="518"/>
      <c r="H3" s="518"/>
      <c r="I3" s="518"/>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518"/>
      <c r="C4" s="518"/>
      <c r="D4" s="518"/>
      <c r="E4" s="518"/>
      <c r="F4" s="518"/>
      <c r="G4" s="518"/>
      <c r="H4" s="518"/>
      <c r="I4" s="518"/>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450" t="s">
        <v>4</v>
      </c>
      <c r="C6" s="450"/>
      <c r="D6" s="451"/>
      <c r="E6" s="488" t="s">
        <v>116</v>
      </c>
      <c r="F6" s="489"/>
      <c r="G6" s="489"/>
      <c r="H6" s="489"/>
      <c r="I6" s="490"/>
      <c r="J6" s="32" t="str">
        <f>IF(AND('Mapa final'!$AD$12="Muy Alta",'Mapa final'!$AF$12="Leve"),CONCATENATE("R1C",'Mapa final'!$T$12),"")</f>
        <v/>
      </c>
      <c r="K6" s="33" t="str">
        <f>IF(AND('Mapa final'!$AD$13="Muy Alta",'Mapa final'!$AF$13="Leve"),CONCATENATE("R1C",'Mapa final'!$T$13),"")</f>
        <v/>
      </c>
      <c r="L6" s="33" t="str">
        <f>IF(AND('Mapa final'!$AD$14="Muy Alta",'Mapa final'!$AF$14="Leve"),CONCATENATE("R1C",'Mapa final'!$T$14),"")</f>
        <v/>
      </c>
      <c r="M6" s="33" t="str">
        <f>IF(AND('Mapa final'!$AD$15="Muy Alta",'Mapa final'!$AF$15="Leve"),CONCATENATE("R1C",'Mapa final'!$T$15),"")</f>
        <v/>
      </c>
      <c r="N6" s="33" t="str">
        <f>IF(AND('Mapa final'!$AD$16="Muy Alta",'Mapa final'!$AF$16="Leve"),CONCATENATE("R1C",'Mapa final'!$T$16),"")</f>
        <v/>
      </c>
      <c r="O6" s="34" t="str">
        <f>IF(AND('Mapa final'!$AD$17="Muy Alta",'Mapa final'!$AF$17="Leve"),CONCATENATE("R1C",'Mapa final'!$T$17),"")</f>
        <v/>
      </c>
      <c r="P6" s="32" t="str">
        <f>IF(AND('Mapa final'!$AD$12="Muy Alta",'Mapa final'!$AF$12="Menor"),CONCATENATE("R1C",'Mapa final'!$T$12),"")</f>
        <v/>
      </c>
      <c r="Q6" s="33" t="str">
        <f>IF(AND('Mapa final'!$AD$13="Muy Alta",'Mapa final'!$AF$13="Menor"),CONCATENATE("R1C",'Mapa final'!$T$13),"")</f>
        <v/>
      </c>
      <c r="R6" s="33" t="str">
        <f>IF(AND('Mapa final'!$AD$14="Muy Alta",'Mapa final'!$AF$14="Menor"),CONCATENATE("R1C",'Mapa final'!$T$14),"")</f>
        <v/>
      </c>
      <c r="S6" s="33" t="str">
        <f>IF(AND('Mapa final'!$AD$15="Muy Alta",'Mapa final'!$AF$15="Menor"),CONCATENATE("R1C",'Mapa final'!$T$15),"")</f>
        <v/>
      </c>
      <c r="T6" s="33" t="str">
        <f>IF(AND('Mapa final'!$AD$16="Muy Alta",'Mapa final'!$AF$16="Menor"),CONCATENATE("R1C",'Mapa final'!$T$16),"")</f>
        <v/>
      </c>
      <c r="U6" s="34" t="str">
        <f>IF(AND('Mapa final'!$AD$17="Muy Alta",'Mapa final'!$AF$17="Menor"),CONCATENATE("R1C",'Mapa final'!$T$17),"")</f>
        <v/>
      </c>
      <c r="V6" s="32" t="str">
        <f>IF(AND('Mapa final'!$AD$12="Muy Alta",'Mapa final'!$AF$12="Moderado"),CONCATENATE("R1C",'Mapa final'!$T$12),"")</f>
        <v/>
      </c>
      <c r="W6" s="33" t="str">
        <f>IF(AND('Mapa final'!$AD$13="Muy Alta",'Mapa final'!$AF$13="Moderado"),CONCATENATE("R1C",'Mapa final'!$T$13),"")</f>
        <v/>
      </c>
      <c r="X6" s="33" t="str">
        <f>IF(AND('Mapa final'!$AD$14="Muy Alta",'Mapa final'!$AF$14="Moderado"),CONCATENATE("R1C",'Mapa final'!$T$14),"")</f>
        <v/>
      </c>
      <c r="Y6" s="33" t="str">
        <f>IF(AND('Mapa final'!$AD$15="Muy Alta",'Mapa final'!$AF$15="Moderado"),CONCATENATE("R1C",'Mapa final'!$T$15),"")</f>
        <v/>
      </c>
      <c r="Z6" s="33" t="str">
        <f>IF(AND('Mapa final'!$AD$16="Muy Alta",'Mapa final'!$AF$16="Moderado"),CONCATENATE("R1C",'Mapa final'!$T$16),"")</f>
        <v/>
      </c>
      <c r="AA6" s="34" t="str">
        <f>IF(AND('Mapa final'!$AD$17="Muy Alta",'Mapa final'!$AF$17="Moderado"),CONCATENATE("R1C",'Mapa final'!$T$17),"")</f>
        <v/>
      </c>
      <c r="AB6" s="32" t="str">
        <f>IF(AND('Mapa final'!$AD$12="Muy Alta",'Mapa final'!$AF$12="Mayor"),CONCATENATE("R1C",'Mapa final'!$T$12),"")</f>
        <v/>
      </c>
      <c r="AC6" s="33" t="str">
        <f>IF(AND('Mapa final'!$AD$13="Muy Alta",'Mapa final'!$AF$13="Mayor"),CONCATENATE("R1C",'Mapa final'!$T$13),"")</f>
        <v/>
      </c>
      <c r="AD6" s="33" t="str">
        <f>IF(AND('Mapa final'!$AD$14="Muy Alta",'Mapa final'!$AF$14="Mayor"),CONCATENATE("R1C",'Mapa final'!$T$14),"")</f>
        <v/>
      </c>
      <c r="AE6" s="33" t="str">
        <f>IF(AND('Mapa final'!$AD$15="Muy Alta",'Mapa final'!$AF$15="Mayor"),CONCATENATE("R1C",'Mapa final'!$T$15),"")</f>
        <v/>
      </c>
      <c r="AF6" s="33" t="str">
        <f>IF(AND('Mapa final'!$AD$16="Muy Alta",'Mapa final'!$AF$16="Mayor"),CONCATENATE("R1C",'Mapa final'!$T$16),"")</f>
        <v/>
      </c>
      <c r="AG6" s="34" t="str">
        <f>IF(AND('Mapa final'!$AD$17="Muy Alta",'Mapa final'!$AF$17="Mayor"),CONCATENATE("R1C",'Mapa final'!$T$17),"")</f>
        <v/>
      </c>
      <c r="AH6" s="35" t="str">
        <f>IF(AND('Mapa final'!$AD$12="Muy Alta",'Mapa final'!$AF$12="Catastrófico"),CONCATENATE("R1C",'Mapa final'!$T$12),"")</f>
        <v/>
      </c>
      <c r="AI6" s="36" t="str">
        <f>IF(AND('Mapa final'!$AD$13="Muy Alta",'Mapa final'!$AF$13="Catastrófico"),CONCATENATE("R1C",'Mapa final'!$T$13),"")</f>
        <v/>
      </c>
      <c r="AJ6" s="36" t="str">
        <f>IF(AND('Mapa final'!$AD$14="Muy Alta",'Mapa final'!$AF$14="Catastrófico"),CONCATENATE("R1C",'Mapa final'!$T$14),"")</f>
        <v/>
      </c>
      <c r="AK6" s="36" t="str">
        <f>IF(AND('Mapa final'!$AD$15="Muy Alta",'Mapa final'!$AF$15="Catastrófico"),CONCATENATE("R1C",'Mapa final'!$T$15),"")</f>
        <v/>
      </c>
      <c r="AL6" s="36" t="str">
        <f>IF(AND('Mapa final'!$AD$16="Muy Alta",'Mapa final'!$AF$16="Catastrófico"),CONCATENATE("R1C",'Mapa final'!$T$16),"")</f>
        <v/>
      </c>
      <c r="AM6" s="37" t="str">
        <f>IF(AND('Mapa final'!$AD$17="Muy Alta",'Mapa final'!$AF$17="Catastrófico"),CONCATENATE("R1C",'Mapa final'!$T$17),"")</f>
        <v/>
      </c>
      <c r="AN6" s="69"/>
      <c r="AO6" s="508" t="s">
        <v>79</v>
      </c>
      <c r="AP6" s="509"/>
      <c r="AQ6" s="509"/>
      <c r="AR6" s="509"/>
      <c r="AS6" s="509"/>
      <c r="AT6" s="510"/>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450"/>
      <c r="C7" s="450"/>
      <c r="D7" s="451"/>
      <c r="E7" s="491"/>
      <c r="F7" s="492"/>
      <c r="G7" s="492"/>
      <c r="H7" s="492"/>
      <c r="I7" s="493"/>
      <c r="J7" s="38" t="str">
        <f>IF(AND('Mapa final'!$AD$18="Muy Alta",'Mapa final'!$AF$18="Leve"),CONCATENATE("R2C",'Mapa final'!$T$18),"")</f>
        <v/>
      </c>
      <c r="K7" s="39" t="str">
        <f>IF(AND('Mapa final'!$AD$19="Muy Alta",'Mapa final'!$AF$19="Leve"),CONCATENATE("R2C",'Mapa final'!$T$19),"")</f>
        <v/>
      </c>
      <c r="L7" s="39" t="str">
        <f>IF(AND('Mapa final'!$AD$20="Muy Alta",'Mapa final'!$AF$20="Leve"),CONCATENATE("R2C",'Mapa final'!$T$20),"")</f>
        <v/>
      </c>
      <c r="M7" s="39" t="str">
        <f>IF(AND('Mapa final'!$AD$21="Muy Alta",'Mapa final'!$AF$21="Leve"),CONCATENATE("R2C",'Mapa final'!$T$21),"")</f>
        <v/>
      </c>
      <c r="N7" s="39" t="str">
        <f>IF(AND('Mapa final'!$AD$22="Muy Alta",'Mapa final'!$AF$22="Leve"),CONCATENATE("R2C",'Mapa final'!$T$22),"")</f>
        <v/>
      </c>
      <c r="O7" s="40" t="str">
        <f>IF(AND('Mapa final'!$AD$23="Muy Alta",'Mapa final'!$AF$23="Leve"),CONCATENATE("R2C",'Mapa final'!$T$23),"")</f>
        <v/>
      </c>
      <c r="P7" s="38" t="str">
        <f>IF(AND('Mapa final'!$AD$18="Muy Alta",'Mapa final'!$AF$18="Menor"),CONCATENATE("R2C",'Mapa final'!$T$18),"")</f>
        <v/>
      </c>
      <c r="Q7" s="39" t="str">
        <f>IF(AND('Mapa final'!$AD$19="Muy Alta",'Mapa final'!$AF$19="Menor"),CONCATENATE("R2C",'Mapa final'!$T$19),"")</f>
        <v/>
      </c>
      <c r="R7" s="39" t="str">
        <f>IF(AND('Mapa final'!$AD$20="Muy Alta",'Mapa final'!$AF$20="Menor"),CONCATENATE("R2C",'Mapa final'!$T$20),"")</f>
        <v/>
      </c>
      <c r="S7" s="39" t="str">
        <f>IF(AND('Mapa final'!$AD$21="Muy Alta",'Mapa final'!$AF$21="Menor"),CONCATENATE("R2C",'Mapa final'!$T$21),"")</f>
        <v/>
      </c>
      <c r="T7" s="39" t="str">
        <f>IF(AND('Mapa final'!$AD$22="Muy Alta",'Mapa final'!$AF$22="Menor"),CONCATENATE("R2C",'Mapa final'!$T$22),"")</f>
        <v/>
      </c>
      <c r="U7" s="40" t="str">
        <f>IF(AND('Mapa final'!$AD$23="Muy Alta",'Mapa final'!$AF$23="Menor"),CONCATENATE("R2C",'Mapa final'!$T$23),"")</f>
        <v/>
      </c>
      <c r="V7" s="38" t="str">
        <f>IF(AND('Mapa final'!$AD$18="Muy Alta",'Mapa final'!$AF$18="Moderado"),CONCATENATE("R2C",'Mapa final'!$T$18),"")</f>
        <v/>
      </c>
      <c r="W7" s="39" t="str">
        <f>IF(AND('Mapa final'!$AD$19="Muy Alta",'Mapa final'!$AF$19="Moderado"),CONCATENATE("R2C",'Mapa final'!$T$19),"")</f>
        <v/>
      </c>
      <c r="X7" s="39" t="str">
        <f>IF(AND('Mapa final'!$AD$20="Muy Alta",'Mapa final'!$AF$20="Moderado"),CONCATENATE("R2C",'Mapa final'!$T$20),"")</f>
        <v/>
      </c>
      <c r="Y7" s="39" t="str">
        <f>IF(AND('Mapa final'!$AD$21="Muy Alta",'Mapa final'!$AF$21="Moderado"),CONCATENATE("R2C",'Mapa final'!$T$21),"")</f>
        <v/>
      </c>
      <c r="Z7" s="39" t="str">
        <f>IF(AND('Mapa final'!$AD$22="Muy Alta",'Mapa final'!$AF$22="Moderado"),CONCATENATE("R2C",'Mapa final'!$T$22),"")</f>
        <v/>
      </c>
      <c r="AA7" s="40" t="str">
        <f>IF(AND('Mapa final'!$AD$23="Muy Alta",'Mapa final'!$AF$23="Moderado"),CONCATENATE("R2C",'Mapa final'!$T$23),"")</f>
        <v/>
      </c>
      <c r="AB7" s="38" t="str">
        <f>IF(AND('Mapa final'!$AD$18="Muy Alta",'Mapa final'!$AF$18="Mayor"),CONCATENATE("R2C",'Mapa final'!$T$18),"")</f>
        <v/>
      </c>
      <c r="AC7" s="39" t="str">
        <f>IF(AND('Mapa final'!$AD$19="Muy Alta",'Mapa final'!$AF$19="Mayor"),CONCATENATE("R2C",'Mapa final'!$T$19),"")</f>
        <v/>
      </c>
      <c r="AD7" s="39" t="str">
        <f>IF(AND('Mapa final'!$AD$20="Muy Alta",'Mapa final'!$AF$20="Mayor"),CONCATENATE("R2C",'Mapa final'!$T$20),"")</f>
        <v/>
      </c>
      <c r="AE7" s="39" t="str">
        <f>IF(AND('Mapa final'!$AD$21="Muy Alta",'Mapa final'!$AF$21="Mayor"),CONCATENATE("R2C",'Mapa final'!$T$21),"")</f>
        <v/>
      </c>
      <c r="AF7" s="39" t="str">
        <f>IF(AND('Mapa final'!$AD$22="Muy Alta",'Mapa final'!$AF$22="Mayor"),CONCATENATE("R2C",'Mapa final'!$T$22),"")</f>
        <v/>
      </c>
      <c r="AG7" s="40" t="str">
        <f>IF(AND('Mapa final'!$AD$23="Muy Alta",'Mapa final'!$AF$23="Mayor"),CONCATENATE("R2C",'Mapa final'!$T$23),"")</f>
        <v/>
      </c>
      <c r="AH7" s="41" t="str">
        <f>IF(AND('Mapa final'!$AD$18="Muy Alta",'Mapa final'!$AF$18="Catastrófico"),CONCATENATE("R2C",'Mapa final'!$T$18),"")</f>
        <v/>
      </c>
      <c r="AI7" s="42" t="str">
        <f>IF(AND('Mapa final'!$AD$19="Muy Alta",'Mapa final'!$AF$19="Catastrófico"),CONCATENATE("R2C",'Mapa final'!$T$19),"")</f>
        <v/>
      </c>
      <c r="AJ7" s="42" t="str">
        <f>IF(AND('Mapa final'!$AD$20="Muy Alta",'Mapa final'!$AF$20="Catastrófico"),CONCATENATE("R2C",'Mapa final'!$T$20),"")</f>
        <v/>
      </c>
      <c r="AK7" s="42" t="str">
        <f>IF(AND('Mapa final'!$AD$21="Muy Alta",'Mapa final'!$AF$21="Catastrófico"),CONCATENATE("R2C",'Mapa final'!$T$21),"")</f>
        <v/>
      </c>
      <c r="AL7" s="42" t="str">
        <f>IF(AND('Mapa final'!$AD$22="Muy Alta",'Mapa final'!$AF$22="Catastrófico"),CONCATENATE("R2C",'Mapa final'!$T$22),"")</f>
        <v/>
      </c>
      <c r="AM7" s="43" t="str">
        <f>IF(AND('Mapa final'!$AD$23="Muy Alta",'Mapa final'!$AF$23="Catastrófico"),CONCATENATE("R2C",'Mapa final'!$T$23),"")</f>
        <v/>
      </c>
      <c r="AN7" s="69"/>
      <c r="AO7" s="511"/>
      <c r="AP7" s="512"/>
      <c r="AQ7" s="512"/>
      <c r="AR7" s="512"/>
      <c r="AS7" s="512"/>
      <c r="AT7" s="513"/>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450"/>
      <c r="C8" s="450"/>
      <c r="D8" s="451"/>
      <c r="E8" s="491"/>
      <c r="F8" s="492"/>
      <c r="G8" s="492"/>
      <c r="H8" s="492"/>
      <c r="I8" s="493"/>
      <c r="J8" s="38" t="str">
        <f>IF(AND('Mapa final'!$AD$24="Muy Alta",'Mapa final'!$AF$24="Leve"),CONCATENATE("R3C",'Mapa final'!$T$24),"")</f>
        <v/>
      </c>
      <c r="K8" s="39" t="str">
        <f>IF(AND('Mapa final'!$AD$25="Muy Alta",'Mapa final'!$AF$25="Leve"),CONCATENATE("R3C",'Mapa final'!$T$25),"")</f>
        <v/>
      </c>
      <c r="L8" s="39" t="str">
        <f>IF(AND('Mapa final'!$AD$26="Muy Alta",'Mapa final'!$AF$26="Leve"),CONCATENATE("R3C",'Mapa final'!$T$26),"")</f>
        <v/>
      </c>
      <c r="M8" s="39" t="str">
        <f>IF(AND('Mapa final'!$AD$27="Muy Alta",'Mapa final'!$AF$27="Leve"),CONCATENATE("R3C",'Mapa final'!$T$27),"")</f>
        <v/>
      </c>
      <c r="N8" s="39" t="str">
        <f>IF(AND('Mapa final'!$AD$28="Muy Alta",'Mapa final'!$AF$28="Leve"),CONCATENATE("R3C",'Mapa final'!$T$28),"")</f>
        <v/>
      </c>
      <c r="O8" s="40" t="str">
        <f>IF(AND('Mapa final'!$AD$29="Muy Alta",'Mapa final'!$AF$29="Leve"),CONCATENATE("R3C",'Mapa final'!$T$29),"")</f>
        <v/>
      </c>
      <c r="P8" s="38" t="str">
        <f>IF(AND('Mapa final'!$AD$24="Muy Alta",'Mapa final'!$AF$24="Menor"),CONCATENATE("R3C",'Mapa final'!$T$24),"")</f>
        <v/>
      </c>
      <c r="Q8" s="39" t="str">
        <f>IF(AND('Mapa final'!$AD$25="Muy Alta",'Mapa final'!$AF$25="Menor"),CONCATENATE("R3C",'Mapa final'!$T$25),"")</f>
        <v/>
      </c>
      <c r="R8" s="39" t="str">
        <f>IF(AND('Mapa final'!$AD$26="Muy Alta",'Mapa final'!$AF$26="Menor"),CONCATENATE("R3C",'Mapa final'!$T$26),"")</f>
        <v/>
      </c>
      <c r="S8" s="39" t="str">
        <f>IF(AND('Mapa final'!$AD$27="Muy Alta",'Mapa final'!$AF$27="Menor"),CONCATENATE("R3C",'Mapa final'!$T$27),"")</f>
        <v/>
      </c>
      <c r="T8" s="39" t="str">
        <f>IF(AND('Mapa final'!$AD$28="Muy Alta",'Mapa final'!$AF$28="Menor"),CONCATENATE("R3C",'Mapa final'!$T$28),"")</f>
        <v/>
      </c>
      <c r="U8" s="40" t="str">
        <f>IF(AND('Mapa final'!$AD$29="Muy Alta",'Mapa final'!$AF$29="Menor"),CONCATENATE("R3C",'Mapa final'!$T$29),"")</f>
        <v/>
      </c>
      <c r="V8" s="38" t="str">
        <f>IF(AND('Mapa final'!$AD$24="Muy Alta",'Mapa final'!$AF$24="Moderado"),CONCATENATE("R3C",'Mapa final'!$T$24),"")</f>
        <v/>
      </c>
      <c r="W8" s="39" t="str">
        <f>IF(AND('Mapa final'!$AD$25="Muy Alta",'Mapa final'!$AF$25="Moderado"),CONCATENATE("R3C",'Mapa final'!$T$25),"")</f>
        <v/>
      </c>
      <c r="X8" s="39" t="str">
        <f>IF(AND('Mapa final'!$AD$26="Muy Alta",'Mapa final'!$AF$26="Moderado"),CONCATENATE("R3C",'Mapa final'!$T$26),"")</f>
        <v/>
      </c>
      <c r="Y8" s="39" t="str">
        <f>IF(AND('Mapa final'!$AD$27="Muy Alta",'Mapa final'!$AF$27="Moderado"),CONCATENATE("R3C",'Mapa final'!$T$27),"")</f>
        <v/>
      </c>
      <c r="Z8" s="39" t="str">
        <f>IF(AND('Mapa final'!$AD$28="Muy Alta",'Mapa final'!$AF$28="Moderado"),CONCATENATE("R3C",'Mapa final'!$T$28),"")</f>
        <v/>
      </c>
      <c r="AA8" s="40" t="str">
        <f>IF(AND('Mapa final'!$AD$29="Muy Alta",'Mapa final'!$AF$29="Moderado"),CONCATENATE("R3C",'Mapa final'!$T$29),"")</f>
        <v/>
      </c>
      <c r="AB8" s="38" t="str">
        <f>IF(AND('Mapa final'!$AD$24="Muy Alta",'Mapa final'!$AF$24="Mayor"),CONCATENATE("R3C",'Mapa final'!$T$24),"")</f>
        <v/>
      </c>
      <c r="AC8" s="39" t="str">
        <f>IF(AND('Mapa final'!$AD$25="Muy Alta",'Mapa final'!$AF$25="Mayor"),CONCATENATE("R3C",'Mapa final'!$T$25),"")</f>
        <v/>
      </c>
      <c r="AD8" s="39" t="str">
        <f>IF(AND('Mapa final'!$AD$26="Muy Alta",'Mapa final'!$AF$26="Mayor"),CONCATENATE("R3C",'Mapa final'!$T$26),"")</f>
        <v/>
      </c>
      <c r="AE8" s="39" t="str">
        <f>IF(AND('Mapa final'!$AD$27="Muy Alta",'Mapa final'!$AF$27="Mayor"),CONCATENATE("R3C",'Mapa final'!$T$27),"")</f>
        <v/>
      </c>
      <c r="AF8" s="39" t="str">
        <f>IF(AND('Mapa final'!$AD$28="Muy Alta",'Mapa final'!$AF$28="Mayor"),CONCATENATE("R3C",'Mapa final'!$T$28),"")</f>
        <v/>
      </c>
      <c r="AG8" s="40" t="str">
        <f>IF(AND('Mapa final'!$AD$29="Muy Alta",'Mapa final'!$AF$29="Mayor"),CONCATENATE("R3C",'Mapa final'!$T$29),"")</f>
        <v/>
      </c>
      <c r="AH8" s="41" t="str">
        <f>IF(AND('Mapa final'!$AD$24="Muy Alta",'Mapa final'!$AF$24="Catastrófico"),CONCATENATE("R3C",'Mapa final'!$T$24),"")</f>
        <v/>
      </c>
      <c r="AI8" s="42" t="str">
        <f>IF(AND('Mapa final'!$AD$25="Muy Alta",'Mapa final'!$AF$25="Catastrófico"),CONCATENATE("R3C",'Mapa final'!$T$25),"")</f>
        <v/>
      </c>
      <c r="AJ8" s="42" t="str">
        <f>IF(AND('Mapa final'!$AD$26="Muy Alta",'Mapa final'!$AF$26="Catastrófico"),CONCATENATE("R3C",'Mapa final'!$T$26),"")</f>
        <v/>
      </c>
      <c r="AK8" s="42" t="str">
        <f>IF(AND('Mapa final'!$AD$27="Muy Alta",'Mapa final'!$AF$27="Catastrófico"),CONCATENATE("R3C",'Mapa final'!$T$27),"")</f>
        <v/>
      </c>
      <c r="AL8" s="42" t="str">
        <f>IF(AND('Mapa final'!$AD$28="Muy Alta",'Mapa final'!$AF$28="Catastrófico"),CONCATENATE("R3C",'Mapa final'!$T$28),"")</f>
        <v/>
      </c>
      <c r="AM8" s="43" t="str">
        <f>IF(AND('Mapa final'!$AD$29="Muy Alta",'Mapa final'!$AF$29="Catastrófico"),CONCATENATE("R3C",'Mapa final'!$T$29),"")</f>
        <v/>
      </c>
      <c r="AN8" s="69"/>
      <c r="AO8" s="511"/>
      <c r="AP8" s="512"/>
      <c r="AQ8" s="512"/>
      <c r="AR8" s="512"/>
      <c r="AS8" s="512"/>
      <c r="AT8" s="513"/>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450"/>
      <c r="C9" s="450"/>
      <c r="D9" s="451"/>
      <c r="E9" s="491"/>
      <c r="F9" s="492"/>
      <c r="G9" s="492"/>
      <c r="H9" s="492"/>
      <c r="I9" s="493"/>
      <c r="J9" s="38" t="str">
        <f>IF(AND('Mapa final'!$AD$30="Muy Alta",'Mapa final'!$AF$30="Leve"),CONCATENATE("R4C",'Mapa final'!$T$30),"")</f>
        <v/>
      </c>
      <c r="K9" s="39" t="str">
        <f>IF(AND('Mapa final'!$AD$31="Muy Alta",'Mapa final'!$AF$31="Leve"),CONCATENATE("R4C",'Mapa final'!$T$31),"")</f>
        <v/>
      </c>
      <c r="L9" s="39" t="str">
        <f>IF(AND('Mapa final'!$AD$32="Muy Alta",'Mapa final'!$AF$32="Leve"),CONCATENATE("R4C",'Mapa final'!$T$32),"")</f>
        <v/>
      </c>
      <c r="M9" s="39" t="str">
        <f>IF(AND('Mapa final'!$AD$33="Muy Alta",'Mapa final'!$AF$33="Leve"),CONCATENATE("R4C",'Mapa final'!$T$33),"")</f>
        <v/>
      </c>
      <c r="N9" s="39" t="str">
        <f>IF(AND('Mapa final'!$AD$34="Muy Alta",'Mapa final'!$AF$34="Leve"),CONCATENATE("R4C",'Mapa final'!$T$34),"")</f>
        <v/>
      </c>
      <c r="O9" s="40" t="str">
        <f>IF(AND('Mapa final'!$AD$35="Muy Alta",'Mapa final'!$AF$35="Leve"),CONCATENATE("R4C",'Mapa final'!$T$35),"")</f>
        <v/>
      </c>
      <c r="P9" s="38" t="str">
        <f>IF(AND('Mapa final'!$AD$30="Muy Alta",'Mapa final'!$AF$30="Menor"),CONCATENATE("R4C",'Mapa final'!$T$30),"")</f>
        <v/>
      </c>
      <c r="Q9" s="39" t="str">
        <f>IF(AND('Mapa final'!$AD$31="Muy Alta",'Mapa final'!$AF$31="Menor"),CONCATENATE("R4C",'Mapa final'!$T$31),"")</f>
        <v/>
      </c>
      <c r="R9" s="39" t="str">
        <f>IF(AND('Mapa final'!$AD$32="Muy Alta",'Mapa final'!$AF$32="Menor"),CONCATENATE("R4C",'Mapa final'!$T$32),"")</f>
        <v/>
      </c>
      <c r="S9" s="39" t="str">
        <f>IF(AND('Mapa final'!$AD$33="Muy Alta",'Mapa final'!$AF$33="Menor"),CONCATENATE("R4C",'Mapa final'!$T$33),"")</f>
        <v/>
      </c>
      <c r="T9" s="39" t="str">
        <f>IF(AND('Mapa final'!$AD$34="Muy Alta",'Mapa final'!$AF$34="Menor"),CONCATENATE("R4C",'Mapa final'!$T$34),"")</f>
        <v/>
      </c>
      <c r="U9" s="40" t="str">
        <f>IF(AND('Mapa final'!$AD$35="Muy Alta",'Mapa final'!$AF$35="Menor"),CONCATENATE("R4C",'Mapa final'!$T$35),"")</f>
        <v/>
      </c>
      <c r="V9" s="38" t="str">
        <f>IF(AND('Mapa final'!$AD$30="Muy Alta",'Mapa final'!$AF$30="Moderado"),CONCATENATE("R4C",'Mapa final'!$T$30),"")</f>
        <v/>
      </c>
      <c r="W9" s="39" t="str">
        <f>IF(AND('Mapa final'!$AD$31="Muy Alta",'Mapa final'!$AF$31="Moderado"),CONCATENATE("R4C",'Mapa final'!$T$31),"")</f>
        <v/>
      </c>
      <c r="X9" s="39" t="str">
        <f>IF(AND('Mapa final'!$AD$32="Muy Alta",'Mapa final'!$AF$32="Moderado"),CONCATENATE("R4C",'Mapa final'!$T$32),"")</f>
        <v/>
      </c>
      <c r="Y9" s="39" t="str">
        <f>IF(AND('Mapa final'!$AD$33="Muy Alta",'Mapa final'!$AF$33="Moderado"),CONCATENATE("R4C",'Mapa final'!$T$33),"")</f>
        <v/>
      </c>
      <c r="Z9" s="39" t="str">
        <f>IF(AND('Mapa final'!$AD$34="Muy Alta",'Mapa final'!$AF$34="Moderado"),CONCATENATE("R4C",'Mapa final'!$T$34),"")</f>
        <v/>
      </c>
      <c r="AA9" s="40" t="str">
        <f>IF(AND('Mapa final'!$AD$35="Muy Alta",'Mapa final'!$AF$35="Moderado"),CONCATENATE("R4C",'Mapa final'!$T$35),"")</f>
        <v/>
      </c>
      <c r="AB9" s="38" t="str">
        <f>IF(AND('Mapa final'!$AD$30="Muy Alta",'Mapa final'!$AF$30="Mayor"),CONCATENATE("R4C",'Mapa final'!$T$30),"")</f>
        <v/>
      </c>
      <c r="AC9" s="39" t="str">
        <f>IF(AND('Mapa final'!$AD$31="Muy Alta",'Mapa final'!$AF$31="Mayor"),CONCATENATE("R4C",'Mapa final'!$T$31),"")</f>
        <v/>
      </c>
      <c r="AD9" s="39" t="str">
        <f>IF(AND('Mapa final'!$AD$32="Muy Alta",'Mapa final'!$AF$32="Mayor"),CONCATENATE("R4C",'Mapa final'!$T$32),"")</f>
        <v/>
      </c>
      <c r="AE9" s="39" t="str">
        <f>IF(AND('Mapa final'!$AD$33="Muy Alta",'Mapa final'!$AF$33="Mayor"),CONCATENATE("R4C",'Mapa final'!$T$33),"")</f>
        <v/>
      </c>
      <c r="AF9" s="39" t="str">
        <f>IF(AND('Mapa final'!$AD$34="Muy Alta",'Mapa final'!$AF$34="Mayor"),CONCATENATE("R4C",'Mapa final'!$T$34),"")</f>
        <v/>
      </c>
      <c r="AG9" s="40" t="str">
        <f>IF(AND('Mapa final'!$AD$35="Muy Alta",'Mapa final'!$AF$35="Mayor"),CONCATENATE("R4C",'Mapa final'!$T$35),"")</f>
        <v/>
      </c>
      <c r="AH9" s="41" t="str">
        <f>IF(AND('Mapa final'!$AD$30="Muy Alta",'Mapa final'!$AF$30="Catastrófico"),CONCATENATE("R4C",'Mapa final'!$T$30),"")</f>
        <v/>
      </c>
      <c r="AI9" s="42" t="str">
        <f>IF(AND('Mapa final'!$AD$31="Muy Alta",'Mapa final'!$AF$31="Catastrófico"),CONCATENATE("R4C",'Mapa final'!$T$31),"")</f>
        <v/>
      </c>
      <c r="AJ9" s="42" t="str">
        <f>IF(AND('Mapa final'!$AD$32="Muy Alta",'Mapa final'!$AF$32="Catastrófico"),CONCATENATE("R4C",'Mapa final'!$T$32),"")</f>
        <v/>
      </c>
      <c r="AK9" s="42" t="str">
        <f>IF(AND('Mapa final'!$AD$33="Muy Alta",'Mapa final'!$AF$33="Catastrófico"),CONCATENATE("R4C",'Mapa final'!$T$33),"")</f>
        <v/>
      </c>
      <c r="AL9" s="42" t="str">
        <f>IF(AND('Mapa final'!$AD$34="Muy Alta",'Mapa final'!$AF$34="Catastrófico"),CONCATENATE("R4C",'Mapa final'!$T$34),"")</f>
        <v/>
      </c>
      <c r="AM9" s="43" t="str">
        <f>IF(AND('Mapa final'!$AD$35="Muy Alta",'Mapa final'!$AF$35="Catastrófico"),CONCATENATE("R4C",'Mapa final'!$T$35),"")</f>
        <v/>
      </c>
      <c r="AN9" s="69"/>
      <c r="AO9" s="511"/>
      <c r="AP9" s="512"/>
      <c r="AQ9" s="512"/>
      <c r="AR9" s="512"/>
      <c r="AS9" s="512"/>
      <c r="AT9" s="513"/>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450"/>
      <c r="C10" s="450"/>
      <c r="D10" s="451"/>
      <c r="E10" s="491"/>
      <c r="F10" s="492"/>
      <c r="G10" s="492"/>
      <c r="H10" s="492"/>
      <c r="I10" s="493"/>
      <c r="J10" s="38" t="str">
        <f>IF(AND('Mapa final'!$AD$36="Muy Alta",'Mapa final'!$AF$36="Leve"),CONCATENATE("R5C",'Mapa final'!$T$36),"")</f>
        <v/>
      </c>
      <c r="K10" s="39" t="str">
        <f>IF(AND('Mapa final'!$AD$37="Muy Alta",'Mapa final'!$AF$37="Leve"),CONCATENATE("R5C",'Mapa final'!$T$37),"")</f>
        <v/>
      </c>
      <c r="L10" s="39" t="str">
        <f>IF(AND('Mapa final'!$AD$38="Muy Alta",'Mapa final'!$AF$38="Leve"),CONCATENATE("R5C",'Mapa final'!$T$38),"")</f>
        <v/>
      </c>
      <c r="M10" s="39" t="str">
        <f>IF(AND('Mapa final'!$AD$39="Muy Alta",'Mapa final'!$AF$39="Leve"),CONCATENATE("R5C",'Mapa final'!$T$39),"")</f>
        <v/>
      </c>
      <c r="N10" s="39" t="str">
        <f>IF(AND('Mapa final'!$AD$40="Muy Alta",'Mapa final'!$AF$40="Leve"),CONCATENATE("R5C",'Mapa final'!$T$40),"")</f>
        <v/>
      </c>
      <c r="O10" s="40" t="str">
        <f>IF(AND('Mapa final'!$AD$41="Muy Alta",'Mapa final'!$AF$41="Leve"),CONCATENATE("R5C",'Mapa final'!$T$41),"")</f>
        <v/>
      </c>
      <c r="P10" s="38" t="str">
        <f>IF(AND('Mapa final'!$AD$36="Muy Alta",'Mapa final'!$AF$36="Menor"),CONCATENATE("R5C",'Mapa final'!$T$36),"")</f>
        <v/>
      </c>
      <c r="Q10" s="39" t="str">
        <f>IF(AND('Mapa final'!$AD$37="Muy Alta",'Mapa final'!$AF$37="Menor"),CONCATENATE("R5C",'Mapa final'!$T$37),"")</f>
        <v/>
      </c>
      <c r="R10" s="39" t="str">
        <f>IF(AND('Mapa final'!$AD$38="Muy Alta",'Mapa final'!$AF$38="Menor"),CONCATENATE("R5C",'Mapa final'!$T$38),"")</f>
        <v/>
      </c>
      <c r="S10" s="39" t="str">
        <f>IF(AND('Mapa final'!$AD$39="Muy Alta",'Mapa final'!$AF$39="Menor"),CONCATENATE("R5C",'Mapa final'!$T$39),"")</f>
        <v/>
      </c>
      <c r="T10" s="39" t="str">
        <f>IF(AND('Mapa final'!$AD$40="Muy Alta",'Mapa final'!$AF$40="Menor"),CONCATENATE("R5C",'Mapa final'!$T$40),"")</f>
        <v/>
      </c>
      <c r="U10" s="40" t="str">
        <f>IF(AND('Mapa final'!$AD$41="Muy Alta",'Mapa final'!$AF$41="Menor"),CONCATENATE("R5C",'Mapa final'!$T$41),"")</f>
        <v/>
      </c>
      <c r="V10" s="38" t="str">
        <f>IF(AND('Mapa final'!$AD$36="Muy Alta",'Mapa final'!$AF$36="Moderado"),CONCATENATE("R5C",'Mapa final'!$T$36),"")</f>
        <v/>
      </c>
      <c r="W10" s="39" t="str">
        <f>IF(AND('Mapa final'!$AD$37="Muy Alta",'Mapa final'!$AF$37="Moderado"),CONCATENATE("R5C",'Mapa final'!$T$37),"")</f>
        <v/>
      </c>
      <c r="X10" s="39" t="str">
        <f>IF(AND('Mapa final'!$AD$38="Muy Alta",'Mapa final'!$AF$38="Moderado"),CONCATENATE("R5C",'Mapa final'!$T$38),"")</f>
        <v/>
      </c>
      <c r="Y10" s="39" t="str">
        <f>IF(AND('Mapa final'!$AD$39="Muy Alta",'Mapa final'!$AF$39="Moderado"),CONCATENATE("R5C",'Mapa final'!$T$39),"")</f>
        <v/>
      </c>
      <c r="Z10" s="39" t="str">
        <f>IF(AND('Mapa final'!$AD$40="Muy Alta",'Mapa final'!$AF$40="Moderado"),CONCATENATE("R5C",'Mapa final'!$T$40),"")</f>
        <v/>
      </c>
      <c r="AA10" s="40" t="str">
        <f>IF(AND('Mapa final'!$AD$41="Muy Alta",'Mapa final'!$AF$41="Moderado"),CONCATENATE("R5C",'Mapa final'!$T$41),"")</f>
        <v/>
      </c>
      <c r="AB10" s="38" t="str">
        <f>IF(AND('Mapa final'!$AD$36="Muy Alta",'Mapa final'!$AF$36="Mayor"),CONCATENATE("R5C",'Mapa final'!$T$36),"")</f>
        <v/>
      </c>
      <c r="AC10" s="39" t="str">
        <f>IF(AND('Mapa final'!$AD$37="Muy Alta",'Mapa final'!$AF$37="Mayor"),CONCATENATE("R5C",'Mapa final'!$T$37),"")</f>
        <v/>
      </c>
      <c r="AD10" s="39" t="str">
        <f>IF(AND('Mapa final'!$AD$38="Muy Alta",'Mapa final'!$AF$38="Mayor"),CONCATENATE("R5C",'Mapa final'!$T$38),"")</f>
        <v/>
      </c>
      <c r="AE10" s="39" t="str">
        <f>IF(AND('Mapa final'!$AD$39="Muy Alta",'Mapa final'!$AF$39="Mayor"),CONCATENATE("R5C",'Mapa final'!$T$39),"")</f>
        <v/>
      </c>
      <c r="AF10" s="39" t="str">
        <f>IF(AND('Mapa final'!$AD$40="Muy Alta",'Mapa final'!$AF$40="Mayor"),CONCATENATE("R5C",'Mapa final'!$T$40),"")</f>
        <v/>
      </c>
      <c r="AG10" s="40" t="str">
        <f>IF(AND('Mapa final'!$AD$41="Muy Alta",'Mapa final'!$AF$41="Mayor"),CONCATENATE("R5C",'Mapa final'!$T$41),"")</f>
        <v/>
      </c>
      <c r="AH10" s="41" t="str">
        <f>IF(AND('Mapa final'!$AD$36="Muy Alta",'Mapa final'!$AF$36="Catastrófico"),CONCATENATE("R5C",'Mapa final'!$T$36),"")</f>
        <v/>
      </c>
      <c r="AI10" s="42" t="str">
        <f>IF(AND('Mapa final'!$AD$37="Muy Alta",'Mapa final'!$AF$37="Catastrófico"),CONCATENATE("R5C",'Mapa final'!$T$37),"")</f>
        <v/>
      </c>
      <c r="AJ10" s="42" t="str">
        <f>IF(AND('Mapa final'!$AD$38="Muy Alta",'Mapa final'!$AF$38="Catastrófico"),CONCATENATE("R5C",'Mapa final'!$T$38),"")</f>
        <v/>
      </c>
      <c r="AK10" s="42" t="str">
        <f>IF(AND('Mapa final'!$AD$39="Muy Alta",'Mapa final'!$AF$39="Catastrófico"),CONCATENATE("R5C",'Mapa final'!$T$39),"")</f>
        <v/>
      </c>
      <c r="AL10" s="42" t="str">
        <f>IF(AND('Mapa final'!$AD$40="Muy Alta",'Mapa final'!$AF$40="Catastrófico"),CONCATENATE("R5C",'Mapa final'!$T$40),"")</f>
        <v/>
      </c>
      <c r="AM10" s="43" t="str">
        <f>IF(AND('Mapa final'!$AD$41="Muy Alta",'Mapa final'!$AF$41="Catastrófico"),CONCATENATE("R5C",'Mapa final'!$T$41),"")</f>
        <v/>
      </c>
      <c r="AN10" s="69"/>
      <c r="AO10" s="511"/>
      <c r="AP10" s="512"/>
      <c r="AQ10" s="512"/>
      <c r="AR10" s="512"/>
      <c r="AS10" s="512"/>
      <c r="AT10" s="513"/>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450"/>
      <c r="C11" s="450"/>
      <c r="D11" s="451"/>
      <c r="E11" s="491"/>
      <c r="F11" s="492"/>
      <c r="G11" s="492"/>
      <c r="H11" s="492"/>
      <c r="I11" s="493"/>
      <c r="J11" s="38" t="str">
        <f>IF(AND('Mapa final'!$AD$42="Muy Alta",'Mapa final'!$AF$42="Leve"),CONCATENATE("R6C",'Mapa final'!$T$42),"")</f>
        <v/>
      </c>
      <c r="K11" s="39" t="str">
        <f>IF(AND('Mapa final'!$AD$43="Muy Alta",'Mapa final'!$AF$43="Leve"),CONCATENATE("R6C",'Mapa final'!$T$43),"")</f>
        <v/>
      </c>
      <c r="L11" s="39" t="str">
        <f>IF(AND('Mapa final'!$AD$44="Muy Alta",'Mapa final'!$AF$44="Leve"),CONCATENATE("R6C",'Mapa final'!$T$44),"")</f>
        <v/>
      </c>
      <c r="M11" s="39" t="str">
        <f>IF(AND('Mapa final'!$AD$45="Muy Alta",'Mapa final'!$AF$45="Leve"),CONCATENATE("R6C",'Mapa final'!$T$45),"")</f>
        <v/>
      </c>
      <c r="N11" s="39" t="str">
        <f>IF(AND('Mapa final'!$AD$46="Muy Alta",'Mapa final'!$AF$46="Leve"),CONCATENATE("R6C",'Mapa final'!$T$46),"")</f>
        <v/>
      </c>
      <c r="O11" s="40" t="str">
        <f>IF(AND('Mapa final'!$AD$47="Muy Alta",'Mapa final'!$AF$47="Leve"),CONCATENATE("R6C",'Mapa final'!$T$47),"")</f>
        <v/>
      </c>
      <c r="P11" s="38" t="str">
        <f>IF(AND('Mapa final'!$AD$42="Muy Alta",'Mapa final'!$AF$42="Menor"),CONCATENATE("R6C",'Mapa final'!$T$42),"")</f>
        <v/>
      </c>
      <c r="Q11" s="39" t="str">
        <f>IF(AND('Mapa final'!$AD$43="Muy Alta",'Mapa final'!$AF$43="Menor"),CONCATENATE("R6C",'Mapa final'!$T$43),"")</f>
        <v/>
      </c>
      <c r="R11" s="39" t="str">
        <f>IF(AND('Mapa final'!$AD$44="Muy Alta",'Mapa final'!$AF$44="Menor"),CONCATENATE("R6C",'Mapa final'!$T$44),"")</f>
        <v/>
      </c>
      <c r="S11" s="39" t="str">
        <f>IF(AND('Mapa final'!$AD$45="Muy Alta",'Mapa final'!$AF$45="Menor"),CONCATENATE("R6C",'Mapa final'!$T$45),"")</f>
        <v/>
      </c>
      <c r="T11" s="39" t="str">
        <f>IF(AND('Mapa final'!$AD$46="Muy Alta",'Mapa final'!$AF$46="Menor"),CONCATENATE("R6C",'Mapa final'!$T$46),"")</f>
        <v/>
      </c>
      <c r="U11" s="40" t="str">
        <f>IF(AND('Mapa final'!$AD$47="Muy Alta",'Mapa final'!$AF$47="Menor"),CONCATENATE("R6C",'Mapa final'!$T$47),"")</f>
        <v/>
      </c>
      <c r="V11" s="38" t="str">
        <f>IF(AND('Mapa final'!$AD$42="Muy Alta",'Mapa final'!$AF$42="Moderado"),CONCATENATE("R6C",'Mapa final'!$T$42),"")</f>
        <v/>
      </c>
      <c r="W11" s="39" t="str">
        <f>IF(AND('Mapa final'!$AD$43="Muy Alta",'Mapa final'!$AF$43="Moderado"),CONCATENATE("R6C",'Mapa final'!$T$43),"")</f>
        <v/>
      </c>
      <c r="X11" s="39" t="str">
        <f>IF(AND('Mapa final'!$AD$44="Muy Alta",'Mapa final'!$AF$44="Moderado"),CONCATENATE("R6C",'Mapa final'!$T$44),"")</f>
        <v/>
      </c>
      <c r="Y11" s="39" t="str">
        <f>IF(AND('Mapa final'!$AD$45="Muy Alta",'Mapa final'!$AF$45="Moderado"),CONCATENATE("R6C",'Mapa final'!$T$45),"")</f>
        <v/>
      </c>
      <c r="Z11" s="39" t="str">
        <f>IF(AND('Mapa final'!$AD$46="Muy Alta",'Mapa final'!$AF$46="Moderado"),CONCATENATE("R6C",'Mapa final'!$T$46),"")</f>
        <v/>
      </c>
      <c r="AA11" s="40" t="str">
        <f>IF(AND('Mapa final'!$AD$47="Muy Alta",'Mapa final'!$AF$47="Moderado"),CONCATENATE("R6C",'Mapa final'!$T$47),"")</f>
        <v/>
      </c>
      <c r="AB11" s="38" t="str">
        <f>IF(AND('Mapa final'!$AD$42="Muy Alta",'Mapa final'!$AF$42="Mayor"),CONCATENATE("R6C",'Mapa final'!$T$42),"")</f>
        <v/>
      </c>
      <c r="AC11" s="39" t="str">
        <f>IF(AND('Mapa final'!$AD$43="Muy Alta",'Mapa final'!$AF$43="Mayor"),CONCATENATE("R6C",'Mapa final'!$T$43),"")</f>
        <v/>
      </c>
      <c r="AD11" s="39" t="str">
        <f>IF(AND('Mapa final'!$AD$44="Muy Alta",'Mapa final'!$AF$44="Mayor"),CONCATENATE("R6C",'Mapa final'!$T$44),"")</f>
        <v/>
      </c>
      <c r="AE11" s="39" t="str">
        <f>IF(AND('Mapa final'!$AD$45="Muy Alta",'Mapa final'!$AF$45="Mayor"),CONCATENATE("R6C",'Mapa final'!$T$45),"")</f>
        <v/>
      </c>
      <c r="AF11" s="39" t="str">
        <f>IF(AND('Mapa final'!$AD$46="Muy Alta",'Mapa final'!$AF$46="Mayor"),CONCATENATE("R6C",'Mapa final'!$T$46),"")</f>
        <v/>
      </c>
      <c r="AG11" s="40" t="str">
        <f>IF(AND('Mapa final'!$AD$47="Muy Alta",'Mapa final'!$AF$47="Mayor"),CONCATENATE("R6C",'Mapa final'!$T$47),"")</f>
        <v/>
      </c>
      <c r="AH11" s="41" t="str">
        <f>IF(AND('Mapa final'!$AD$42="Muy Alta",'Mapa final'!$AF$42="Catastrófico"),CONCATENATE("R6C",'Mapa final'!$T$42),"")</f>
        <v/>
      </c>
      <c r="AI11" s="42" t="str">
        <f>IF(AND('Mapa final'!$AD$43="Muy Alta",'Mapa final'!$AF$43="Catastrófico"),CONCATENATE("R6C",'Mapa final'!$T$43),"")</f>
        <v/>
      </c>
      <c r="AJ11" s="42" t="str">
        <f>IF(AND('Mapa final'!$AD$44="Muy Alta",'Mapa final'!$AF$44="Catastrófico"),CONCATENATE("R6C",'Mapa final'!$T$44),"")</f>
        <v/>
      </c>
      <c r="AK11" s="42" t="str">
        <f>IF(AND('Mapa final'!$AD$45="Muy Alta",'Mapa final'!$AF$45="Catastrófico"),CONCATENATE("R6C",'Mapa final'!$T$45),"")</f>
        <v/>
      </c>
      <c r="AL11" s="42" t="str">
        <f>IF(AND('Mapa final'!$AD$46="Muy Alta",'Mapa final'!$AF$46="Catastrófico"),CONCATENATE("R6C",'Mapa final'!$T$46),"")</f>
        <v/>
      </c>
      <c r="AM11" s="43" t="str">
        <f>IF(AND('Mapa final'!$AD$47="Muy Alta",'Mapa final'!$AF$47="Catastrófico"),CONCATENATE("R6C",'Mapa final'!$T$47),"")</f>
        <v/>
      </c>
      <c r="AN11" s="69"/>
      <c r="AO11" s="511"/>
      <c r="AP11" s="512"/>
      <c r="AQ11" s="512"/>
      <c r="AR11" s="512"/>
      <c r="AS11" s="512"/>
      <c r="AT11" s="513"/>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450"/>
      <c r="C12" s="450"/>
      <c r="D12" s="451"/>
      <c r="E12" s="491"/>
      <c r="F12" s="492"/>
      <c r="G12" s="492"/>
      <c r="H12" s="492"/>
      <c r="I12" s="493"/>
      <c r="J12" s="38" t="str">
        <f>IF(AND('Mapa final'!$AD$48="Muy Alta",'Mapa final'!$AF$48="Leve"),CONCATENATE("R7C",'Mapa final'!$T$48),"")</f>
        <v/>
      </c>
      <c r="K12" s="39" t="str">
        <f>IF(AND('Mapa final'!$AD$49="Muy Alta",'Mapa final'!$AF$49="Leve"),CONCATENATE("R7C",'Mapa final'!$T$49),"")</f>
        <v/>
      </c>
      <c r="L12" s="39" t="str">
        <f>IF(AND('Mapa final'!$AD$50="Muy Alta",'Mapa final'!$AF$50="Leve"),CONCATENATE("R7C",'Mapa final'!$T$50),"")</f>
        <v/>
      </c>
      <c r="M12" s="39" t="str">
        <f>IF(AND('Mapa final'!$AD$51="Muy Alta",'Mapa final'!$AF$51="Leve"),CONCATENATE("R7C",'Mapa final'!$T$51),"")</f>
        <v/>
      </c>
      <c r="N12" s="39" t="str">
        <f>IF(AND('Mapa final'!$AD$52="Muy Alta",'Mapa final'!$AF$52="Leve"),CONCATENATE("R7C",'Mapa final'!$T$52),"")</f>
        <v/>
      </c>
      <c r="O12" s="40" t="str">
        <f>IF(AND('Mapa final'!$AD$53="Muy Alta",'Mapa final'!$AF$53="Leve"),CONCATENATE("R7C",'Mapa final'!$T$53),"")</f>
        <v/>
      </c>
      <c r="P12" s="38" t="str">
        <f>IF(AND('Mapa final'!$AD$48="Muy Alta",'Mapa final'!$AF$48="Menor"),CONCATENATE("R7C",'Mapa final'!$T$48),"")</f>
        <v/>
      </c>
      <c r="Q12" s="39" t="str">
        <f>IF(AND('Mapa final'!$AD$49="Muy Alta",'Mapa final'!$AF$49="Menor"),CONCATENATE("R7C",'Mapa final'!$T$49),"")</f>
        <v/>
      </c>
      <c r="R12" s="39" t="str">
        <f>IF(AND('Mapa final'!$AD$50="Muy Alta",'Mapa final'!$AF$50="Menor"),CONCATENATE("R7C",'Mapa final'!$T$50),"")</f>
        <v/>
      </c>
      <c r="S12" s="39" t="str">
        <f>IF(AND('Mapa final'!$AD$51="Muy Alta",'Mapa final'!$AF$51="Menor"),CONCATENATE("R7C",'Mapa final'!$T$51),"")</f>
        <v/>
      </c>
      <c r="T12" s="39" t="str">
        <f>IF(AND('Mapa final'!$AD$52="Muy Alta",'Mapa final'!$AF$52="Menor"),CONCATENATE("R7C",'Mapa final'!$T$52),"")</f>
        <v/>
      </c>
      <c r="U12" s="40" t="str">
        <f>IF(AND('Mapa final'!$AD$53="Muy Alta",'Mapa final'!$AF$53="Menor"),CONCATENATE("R7C",'Mapa final'!$T$53),"")</f>
        <v/>
      </c>
      <c r="V12" s="38" t="str">
        <f>IF(AND('Mapa final'!$AD$48="Muy Alta",'Mapa final'!$AF$48="Moderado"),CONCATENATE("R7C",'Mapa final'!$T$48),"")</f>
        <v/>
      </c>
      <c r="W12" s="39" t="str">
        <f>IF(AND('Mapa final'!$AD$49="Muy Alta",'Mapa final'!$AF$49="Moderado"),CONCATENATE("R7C",'Mapa final'!$T$49),"")</f>
        <v/>
      </c>
      <c r="X12" s="39" t="str">
        <f>IF(AND('Mapa final'!$AD$50="Muy Alta",'Mapa final'!$AF$50="Moderado"),CONCATENATE("R7C",'Mapa final'!$T$50),"")</f>
        <v/>
      </c>
      <c r="Y12" s="39" t="str">
        <f>IF(AND('Mapa final'!$AD$51="Muy Alta",'Mapa final'!$AF$51="Moderado"),CONCATENATE("R7C",'Mapa final'!$T$51),"")</f>
        <v/>
      </c>
      <c r="Z12" s="39" t="str">
        <f>IF(AND('Mapa final'!$AD$52="Muy Alta",'Mapa final'!$AF$52="Moderado"),CONCATENATE("R7C",'Mapa final'!$T$52),"")</f>
        <v/>
      </c>
      <c r="AA12" s="40" t="str">
        <f>IF(AND('Mapa final'!$AD$53="Muy Alta",'Mapa final'!$AF$53="Moderado"),CONCATENATE("R7C",'Mapa final'!$T$53),"")</f>
        <v/>
      </c>
      <c r="AB12" s="38" t="str">
        <f>IF(AND('Mapa final'!$AD$48="Muy Alta",'Mapa final'!$AF$48="Mayor"),CONCATENATE("R7C",'Mapa final'!$T$48),"")</f>
        <v/>
      </c>
      <c r="AC12" s="39" t="str">
        <f>IF(AND('Mapa final'!$AD$49="Muy Alta",'Mapa final'!$AF$49="Mayor"),CONCATENATE("R7C",'Mapa final'!$T$49),"")</f>
        <v/>
      </c>
      <c r="AD12" s="39" t="str">
        <f>IF(AND('Mapa final'!$AD$50="Muy Alta",'Mapa final'!$AF$50="Mayor"),CONCATENATE("R7C",'Mapa final'!$T$50),"")</f>
        <v/>
      </c>
      <c r="AE12" s="39" t="str">
        <f>IF(AND('Mapa final'!$AD$51="Muy Alta",'Mapa final'!$AF$51="Mayor"),CONCATENATE("R7C",'Mapa final'!$T$51),"")</f>
        <v/>
      </c>
      <c r="AF12" s="39" t="str">
        <f>IF(AND('Mapa final'!$AD$52="Muy Alta",'Mapa final'!$AF$52="Mayor"),CONCATENATE("R7C",'Mapa final'!$T$52),"")</f>
        <v/>
      </c>
      <c r="AG12" s="40" t="str">
        <f>IF(AND('Mapa final'!$AD$53="Muy Alta",'Mapa final'!$AF$53="Mayor"),CONCATENATE("R7C",'Mapa final'!$T$53),"")</f>
        <v/>
      </c>
      <c r="AH12" s="41" t="str">
        <f>IF(AND('Mapa final'!$AD$48="Muy Alta",'Mapa final'!$AF$48="Catastrófico"),CONCATENATE("R7C",'Mapa final'!$T$48),"")</f>
        <v/>
      </c>
      <c r="AI12" s="42" t="str">
        <f>IF(AND('Mapa final'!$AD$49="Muy Alta",'Mapa final'!$AF$49="Catastrófico"),CONCATENATE("R7C",'Mapa final'!$T$49),"")</f>
        <v/>
      </c>
      <c r="AJ12" s="42" t="str">
        <f>IF(AND('Mapa final'!$AD$50="Muy Alta",'Mapa final'!$AF$50="Catastrófico"),CONCATENATE("R7C",'Mapa final'!$T$50),"")</f>
        <v/>
      </c>
      <c r="AK12" s="42" t="str">
        <f>IF(AND('Mapa final'!$AD$51="Muy Alta",'Mapa final'!$AF$51="Catastrófico"),CONCATENATE("R7C",'Mapa final'!$T$51),"")</f>
        <v/>
      </c>
      <c r="AL12" s="42" t="str">
        <f>IF(AND('Mapa final'!$AD$52="Muy Alta",'Mapa final'!$AF$52="Catastrófico"),CONCATENATE("R7C",'Mapa final'!$T$52),"")</f>
        <v/>
      </c>
      <c r="AM12" s="43" t="str">
        <f>IF(AND('Mapa final'!$AD$53="Muy Alta",'Mapa final'!$AF$53="Catastrófico"),CONCATENATE("R7C",'Mapa final'!$T$53),"")</f>
        <v/>
      </c>
      <c r="AN12" s="69"/>
      <c r="AO12" s="511"/>
      <c r="AP12" s="512"/>
      <c r="AQ12" s="512"/>
      <c r="AR12" s="512"/>
      <c r="AS12" s="512"/>
      <c r="AT12" s="513"/>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450"/>
      <c r="C13" s="450"/>
      <c r="D13" s="451"/>
      <c r="E13" s="491"/>
      <c r="F13" s="492"/>
      <c r="G13" s="492"/>
      <c r="H13" s="492"/>
      <c r="I13" s="493"/>
      <c r="J13" s="38" t="str">
        <f>IF(AND('Mapa final'!$AD$54="Muy Alta",'Mapa final'!$AF$54="Leve"),CONCATENATE("R8C",'Mapa final'!$T$54),"")</f>
        <v/>
      </c>
      <c r="K13" s="39" t="str">
        <f>IF(AND('Mapa final'!$AD$55="Muy Alta",'Mapa final'!$AF$55="Leve"),CONCATENATE("R8C",'Mapa final'!$T$55),"")</f>
        <v/>
      </c>
      <c r="L13" s="39" t="str">
        <f>IF(AND('Mapa final'!$AD$56="Muy Alta",'Mapa final'!$AF$56="Leve"),CONCATENATE("R8C",'Mapa final'!$T$56),"")</f>
        <v/>
      </c>
      <c r="M13" s="39" t="str">
        <f>IF(AND('Mapa final'!$AD$57="Muy Alta",'Mapa final'!$AF$57="Leve"),CONCATENATE("R8C",'Mapa final'!$T$57),"")</f>
        <v/>
      </c>
      <c r="N13" s="39" t="str">
        <f>IF(AND('Mapa final'!$AD$58="Muy Alta",'Mapa final'!$AF$58="Leve"),CONCATENATE("R8C",'Mapa final'!$T$58),"")</f>
        <v/>
      </c>
      <c r="O13" s="40" t="str">
        <f>IF(AND('Mapa final'!$AD$59="Muy Alta",'Mapa final'!$AF$59="Leve"),CONCATENATE("R8C",'Mapa final'!$T$59),"")</f>
        <v/>
      </c>
      <c r="P13" s="38" t="str">
        <f>IF(AND('Mapa final'!$AD$54="Muy Alta",'Mapa final'!$AF$54="Menor"),CONCATENATE("R8C",'Mapa final'!$T$54),"")</f>
        <v/>
      </c>
      <c r="Q13" s="39" t="str">
        <f>IF(AND('Mapa final'!$AD$55="Muy Alta",'Mapa final'!$AF$55="Menor"),CONCATENATE("R8C",'Mapa final'!$T$55),"")</f>
        <v/>
      </c>
      <c r="R13" s="39" t="str">
        <f>IF(AND('Mapa final'!$AD$56="Muy Alta",'Mapa final'!$AF$56="Menor"),CONCATENATE("R8C",'Mapa final'!$T$56),"")</f>
        <v/>
      </c>
      <c r="S13" s="39" t="str">
        <f>IF(AND('Mapa final'!$AD$57="Muy Alta",'Mapa final'!$AF$57="Menor"),CONCATENATE("R8C",'Mapa final'!$T$57),"")</f>
        <v/>
      </c>
      <c r="T13" s="39" t="str">
        <f>IF(AND('Mapa final'!$AD$58="Muy Alta",'Mapa final'!$AF$58="Menor"),CONCATENATE("R8C",'Mapa final'!$T$58),"")</f>
        <v/>
      </c>
      <c r="U13" s="40" t="str">
        <f>IF(AND('Mapa final'!$AD$59="Muy Alta",'Mapa final'!$AF$59="Menor"),CONCATENATE("R8C",'Mapa final'!$T$59),"")</f>
        <v/>
      </c>
      <c r="V13" s="38" t="str">
        <f>IF(AND('Mapa final'!$AD$54="Muy Alta",'Mapa final'!$AF$54="Moderado"),CONCATENATE("R8C",'Mapa final'!$T$54),"")</f>
        <v/>
      </c>
      <c r="W13" s="39" t="str">
        <f>IF(AND('Mapa final'!$AD$55="Muy Alta",'Mapa final'!$AF$55="Moderado"),CONCATENATE("R8C",'Mapa final'!$T$55),"")</f>
        <v/>
      </c>
      <c r="X13" s="39" t="str">
        <f>IF(AND('Mapa final'!$AD$56="Muy Alta",'Mapa final'!$AF$56="Moderado"),CONCATENATE("R8C",'Mapa final'!$T$56),"")</f>
        <v/>
      </c>
      <c r="Y13" s="39" t="str">
        <f>IF(AND('Mapa final'!$AD$57="Muy Alta",'Mapa final'!$AF$57="Moderado"),CONCATENATE("R8C",'Mapa final'!$T$57),"")</f>
        <v/>
      </c>
      <c r="Z13" s="39" t="str">
        <f>IF(AND('Mapa final'!$AD$58="Muy Alta",'Mapa final'!$AF$58="Moderado"),CONCATENATE("R8C",'Mapa final'!$T$58),"")</f>
        <v/>
      </c>
      <c r="AA13" s="40" t="str">
        <f>IF(AND('Mapa final'!$AD$59="Muy Alta",'Mapa final'!$AF$59="Moderado"),CONCATENATE("R8C",'Mapa final'!$T$59),"")</f>
        <v/>
      </c>
      <c r="AB13" s="38" t="str">
        <f>IF(AND('Mapa final'!$AD$54="Muy Alta",'Mapa final'!$AF$54="Mayor"),CONCATENATE("R8C",'Mapa final'!$T$54),"")</f>
        <v/>
      </c>
      <c r="AC13" s="39" t="str">
        <f>IF(AND('Mapa final'!$AD$55="Muy Alta",'Mapa final'!$AF$55="Mayor"),CONCATENATE("R8C",'Mapa final'!$T$55),"")</f>
        <v/>
      </c>
      <c r="AD13" s="39" t="str">
        <f>IF(AND('Mapa final'!$AD$56="Muy Alta",'Mapa final'!$AF$56="Mayor"),CONCATENATE("R8C",'Mapa final'!$T$56),"")</f>
        <v/>
      </c>
      <c r="AE13" s="39" t="str">
        <f>IF(AND('Mapa final'!$AD$57="Muy Alta",'Mapa final'!$AF$57="Mayor"),CONCATENATE("R8C",'Mapa final'!$T$57),"")</f>
        <v/>
      </c>
      <c r="AF13" s="39" t="str">
        <f>IF(AND('Mapa final'!$AD$58="Muy Alta",'Mapa final'!$AF$58="Mayor"),CONCATENATE("R8C",'Mapa final'!$T$58),"")</f>
        <v/>
      </c>
      <c r="AG13" s="40" t="str">
        <f>IF(AND('Mapa final'!$AD$59="Muy Alta",'Mapa final'!$AF$59="Mayor"),CONCATENATE("R8C",'Mapa final'!$T$59),"")</f>
        <v/>
      </c>
      <c r="AH13" s="41" t="str">
        <f>IF(AND('Mapa final'!$AD$54="Muy Alta",'Mapa final'!$AF$54="Catastrófico"),CONCATENATE("R8C",'Mapa final'!$T$54),"")</f>
        <v/>
      </c>
      <c r="AI13" s="42" t="str">
        <f>IF(AND('Mapa final'!$AD$55="Muy Alta",'Mapa final'!$AF$55="Catastrófico"),CONCATENATE("R8C",'Mapa final'!$T$55),"")</f>
        <v/>
      </c>
      <c r="AJ13" s="42" t="str">
        <f>IF(AND('Mapa final'!$AD$56="Muy Alta",'Mapa final'!$AF$56="Catastrófico"),CONCATENATE("R8C",'Mapa final'!$T$56),"")</f>
        <v/>
      </c>
      <c r="AK13" s="42" t="str">
        <f>IF(AND('Mapa final'!$AD$57="Muy Alta",'Mapa final'!$AF$57="Catastrófico"),CONCATENATE("R8C",'Mapa final'!$T$57),"")</f>
        <v/>
      </c>
      <c r="AL13" s="42" t="str">
        <f>IF(AND('Mapa final'!$AD$58="Muy Alta",'Mapa final'!$AF$58="Catastrófico"),CONCATENATE("R8C",'Mapa final'!$T$58),"")</f>
        <v/>
      </c>
      <c r="AM13" s="43" t="str">
        <f>IF(AND('Mapa final'!$AD$59="Muy Alta",'Mapa final'!$AF$59="Catastrófico"),CONCATENATE("R8C",'Mapa final'!$T$59),"")</f>
        <v/>
      </c>
      <c r="AN13" s="69"/>
      <c r="AO13" s="511"/>
      <c r="AP13" s="512"/>
      <c r="AQ13" s="512"/>
      <c r="AR13" s="512"/>
      <c r="AS13" s="512"/>
      <c r="AT13" s="513"/>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450"/>
      <c r="C14" s="450"/>
      <c r="D14" s="451"/>
      <c r="E14" s="491"/>
      <c r="F14" s="492"/>
      <c r="G14" s="492"/>
      <c r="H14" s="492"/>
      <c r="I14" s="493"/>
      <c r="J14" s="38" t="str">
        <f>IF(AND('Mapa final'!$AD$60="Muy Alta",'Mapa final'!$AF$60="Leve"),CONCATENATE("R9C",'Mapa final'!$T$60),"")</f>
        <v/>
      </c>
      <c r="K14" s="39" t="str">
        <f>IF(AND('Mapa final'!$AD$61="Muy Alta",'Mapa final'!$AF$61="Leve"),CONCATENATE("R9C",'Mapa final'!$T$61),"")</f>
        <v/>
      </c>
      <c r="L14" s="39" t="str">
        <f>IF(AND('Mapa final'!$AD$62="Muy Alta",'Mapa final'!$AF$62="Leve"),CONCATENATE("R9C",'Mapa final'!$T$62),"")</f>
        <v/>
      </c>
      <c r="M14" s="39" t="str">
        <f>IF(AND('Mapa final'!$AD$63="Muy Alta",'Mapa final'!$AF$63="Leve"),CONCATENATE("R9C",'Mapa final'!$T$63),"")</f>
        <v/>
      </c>
      <c r="N14" s="39" t="str">
        <f>IF(AND('Mapa final'!$AD$64="Muy Alta",'Mapa final'!$AF$64="Leve"),CONCATENATE("R9C",'Mapa final'!$T$64),"")</f>
        <v/>
      </c>
      <c r="O14" s="40" t="str">
        <f>IF(AND('Mapa final'!$AD$65="Muy Alta",'Mapa final'!$AF$65="Leve"),CONCATENATE("R9C",'Mapa final'!$T$65),"")</f>
        <v/>
      </c>
      <c r="P14" s="38" t="str">
        <f>IF(AND('Mapa final'!$AD$60="Muy Alta",'Mapa final'!$AF$60="Menor"),CONCATENATE("R9C",'Mapa final'!$T$60),"")</f>
        <v/>
      </c>
      <c r="Q14" s="39" t="str">
        <f>IF(AND('Mapa final'!$AD$61="Muy Alta",'Mapa final'!$AF$61="Menor"),CONCATENATE("R9C",'Mapa final'!$T$61),"")</f>
        <v/>
      </c>
      <c r="R14" s="39" t="str">
        <f>IF(AND('Mapa final'!$AD$62="Muy Alta",'Mapa final'!$AF$62="Menor"),CONCATENATE("R9C",'Mapa final'!$T$62),"")</f>
        <v/>
      </c>
      <c r="S14" s="39" t="str">
        <f>IF(AND('Mapa final'!$AD$63="Muy Alta",'Mapa final'!$AF$63="Menor"),CONCATENATE("R9C",'Mapa final'!$T$63),"")</f>
        <v/>
      </c>
      <c r="T14" s="39" t="str">
        <f>IF(AND('Mapa final'!$AD$64="Muy Alta",'Mapa final'!$AF$64="Menor"),CONCATENATE("R9C",'Mapa final'!$T$64),"")</f>
        <v/>
      </c>
      <c r="U14" s="40" t="str">
        <f>IF(AND('Mapa final'!$AD$65="Muy Alta",'Mapa final'!$AF$65="Menor"),CONCATENATE("R9C",'Mapa final'!$T$65),"")</f>
        <v/>
      </c>
      <c r="V14" s="38" t="str">
        <f>IF(AND('Mapa final'!$AD$60="Muy Alta",'Mapa final'!$AF$60="Moderado"),CONCATENATE("R9C",'Mapa final'!$T$60),"")</f>
        <v/>
      </c>
      <c r="W14" s="39" t="str">
        <f>IF(AND('Mapa final'!$AD$61="Muy Alta",'Mapa final'!$AF$61="Moderado"),CONCATENATE("R9C",'Mapa final'!$T$61),"")</f>
        <v/>
      </c>
      <c r="X14" s="39" t="str">
        <f>IF(AND('Mapa final'!$AD$62="Muy Alta",'Mapa final'!$AF$62="Moderado"),CONCATENATE("R9C",'Mapa final'!$T$62),"")</f>
        <v/>
      </c>
      <c r="Y14" s="39" t="str">
        <f>IF(AND('Mapa final'!$AD$63="Muy Alta",'Mapa final'!$AF$63="Moderado"),CONCATENATE("R9C",'Mapa final'!$T$63),"")</f>
        <v/>
      </c>
      <c r="Z14" s="39" t="str">
        <f>IF(AND('Mapa final'!$AD$64="Muy Alta",'Mapa final'!$AF$64="Moderado"),CONCATENATE("R9C",'Mapa final'!$T$64),"")</f>
        <v/>
      </c>
      <c r="AA14" s="40" t="str">
        <f>IF(AND('Mapa final'!$AD$65="Muy Alta",'Mapa final'!$AF$65="Moderado"),CONCATENATE("R9C",'Mapa final'!$T$65),"")</f>
        <v/>
      </c>
      <c r="AB14" s="38" t="str">
        <f>IF(AND('Mapa final'!$AD$60="Muy Alta",'Mapa final'!$AF$60="Mayor"),CONCATENATE("R9C",'Mapa final'!$T$60),"")</f>
        <v/>
      </c>
      <c r="AC14" s="39" t="str">
        <f>IF(AND('Mapa final'!$AD$61="Muy Alta",'Mapa final'!$AF$61="Mayor"),CONCATENATE("R9C",'Mapa final'!$T$61),"")</f>
        <v/>
      </c>
      <c r="AD14" s="39" t="str">
        <f>IF(AND('Mapa final'!$AD$62="Muy Alta",'Mapa final'!$AF$62="Mayor"),CONCATENATE("R9C",'Mapa final'!$T$62),"")</f>
        <v/>
      </c>
      <c r="AE14" s="39" t="str">
        <f>IF(AND('Mapa final'!$AD$63="Muy Alta",'Mapa final'!$AF$63="Mayor"),CONCATENATE("R9C",'Mapa final'!$T$63),"")</f>
        <v/>
      </c>
      <c r="AF14" s="39" t="str">
        <f>IF(AND('Mapa final'!$AD$64="Muy Alta",'Mapa final'!$AF$64="Mayor"),CONCATENATE("R9C",'Mapa final'!$T$64),"")</f>
        <v/>
      </c>
      <c r="AG14" s="40" t="str">
        <f>IF(AND('Mapa final'!$AD$65="Muy Alta",'Mapa final'!$AF$65="Mayor"),CONCATENATE("R9C",'Mapa final'!$T$65),"")</f>
        <v/>
      </c>
      <c r="AH14" s="41" t="str">
        <f>IF(AND('Mapa final'!$AD$60="Muy Alta",'Mapa final'!$AF$60="Catastrófico"),CONCATENATE("R9C",'Mapa final'!$T$60),"")</f>
        <v/>
      </c>
      <c r="AI14" s="42" t="str">
        <f>IF(AND('Mapa final'!$AD$61="Muy Alta",'Mapa final'!$AF$61="Catastrófico"),CONCATENATE("R9C",'Mapa final'!$T$61),"")</f>
        <v/>
      </c>
      <c r="AJ14" s="42" t="str">
        <f>IF(AND('Mapa final'!$AD$62="Muy Alta",'Mapa final'!$AF$62="Catastrófico"),CONCATENATE("R9C",'Mapa final'!$T$62),"")</f>
        <v/>
      </c>
      <c r="AK14" s="42" t="str">
        <f>IF(AND('Mapa final'!$AD$63="Muy Alta",'Mapa final'!$AF$63="Catastrófico"),CONCATENATE("R9C",'Mapa final'!$T$63),"")</f>
        <v/>
      </c>
      <c r="AL14" s="42" t="str">
        <f>IF(AND('Mapa final'!$AD$64="Muy Alta",'Mapa final'!$AF$64="Catastrófico"),CONCATENATE("R9C",'Mapa final'!$T$64),"")</f>
        <v/>
      </c>
      <c r="AM14" s="43" t="str">
        <f>IF(AND('Mapa final'!$AD$65="Muy Alta",'Mapa final'!$AF$65="Catastrófico"),CONCATENATE("R9C",'Mapa final'!$T$65),"")</f>
        <v/>
      </c>
      <c r="AN14" s="69"/>
      <c r="AO14" s="511"/>
      <c r="AP14" s="512"/>
      <c r="AQ14" s="512"/>
      <c r="AR14" s="512"/>
      <c r="AS14" s="512"/>
      <c r="AT14" s="513"/>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450"/>
      <c r="C15" s="450"/>
      <c r="D15" s="451"/>
      <c r="E15" s="494"/>
      <c r="F15" s="495"/>
      <c r="G15" s="495"/>
      <c r="H15" s="495"/>
      <c r="I15" s="496"/>
      <c r="J15" s="44" t="str">
        <f>IF(AND('Mapa final'!$AD$66="Muy Alta",'Mapa final'!$AF$66="Leve"),CONCATENATE("R10C",'Mapa final'!$T$66),"")</f>
        <v/>
      </c>
      <c r="K15" s="45" t="str">
        <f>IF(AND('Mapa final'!$AD$67="Muy Alta",'Mapa final'!$AF$67="Leve"),CONCATENATE("R10C",'Mapa final'!$T$67),"")</f>
        <v/>
      </c>
      <c r="L15" s="45" t="str">
        <f>IF(AND('Mapa final'!$AD$68="Muy Alta",'Mapa final'!$AF$68="Leve"),CONCATENATE("R10C",'Mapa final'!$T$68),"")</f>
        <v/>
      </c>
      <c r="M15" s="45" t="str">
        <f>IF(AND('Mapa final'!$AD$69="Muy Alta",'Mapa final'!$AF$69="Leve"),CONCATENATE("R10C",'Mapa final'!$T$69),"")</f>
        <v/>
      </c>
      <c r="N15" s="45" t="str">
        <f>IF(AND('Mapa final'!$AD$70="Muy Alta",'Mapa final'!$AF$70="Leve"),CONCATENATE("R10C",'Mapa final'!$T$70),"")</f>
        <v/>
      </c>
      <c r="O15" s="46" t="str">
        <f>IF(AND('Mapa final'!$AD$71="Muy Alta",'Mapa final'!$AF$71="Leve"),CONCATENATE("R10C",'Mapa final'!$T$71),"")</f>
        <v/>
      </c>
      <c r="P15" s="38" t="str">
        <f>IF(AND('Mapa final'!$AD$66="Muy Alta",'Mapa final'!$AF$66="Menor"),CONCATENATE("R10C",'Mapa final'!$T$66),"")</f>
        <v/>
      </c>
      <c r="Q15" s="39" t="str">
        <f>IF(AND('Mapa final'!$AD$67="Muy Alta",'Mapa final'!$AF$67="Menor"),CONCATENATE("R10C",'Mapa final'!$T$67),"")</f>
        <v/>
      </c>
      <c r="R15" s="39" t="str">
        <f>IF(AND('Mapa final'!$AD$68="Muy Alta",'Mapa final'!$AF$68="Menor"),CONCATENATE("R10C",'Mapa final'!$T$68),"")</f>
        <v/>
      </c>
      <c r="S15" s="39" t="str">
        <f>IF(AND('Mapa final'!$AD$69="Muy Alta",'Mapa final'!$AF$69="Menor"),CONCATENATE("R10C",'Mapa final'!$T$69),"")</f>
        <v/>
      </c>
      <c r="T15" s="39" t="str">
        <f>IF(AND('Mapa final'!$AD$70="Muy Alta",'Mapa final'!$AF$70="Menor"),CONCATENATE("R10C",'Mapa final'!$T$70),"")</f>
        <v/>
      </c>
      <c r="U15" s="40" t="str">
        <f>IF(AND('Mapa final'!$AD$71="Muy Alta",'Mapa final'!$AF$71="Menor"),CONCATENATE("R10C",'Mapa final'!$T$71),"")</f>
        <v/>
      </c>
      <c r="V15" s="44" t="str">
        <f>IF(AND('Mapa final'!$AD$66="Muy Alta",'Mapa final'!$AF$66="Moderado"),CONCATENATE("R10C",'Mapa final'!$T$66),"")</f>
        <v/>
      </c>
      <c r="W15" s="45" t="str">
        <f>IF(AND('Mapa final'!$AD$67="Muy Alta",'Mapa final'!$AF$67="Moderado"),CONCATENATE("R10C",'Mapa final'!$T$67),"")</f>
        <v/>
      </c>
      <c r="X15" s="45" t="str">
        <f>IF(AND('Mapa final'!$AD$68="Muy Alta",'Mapa final'!$AF$68="Moderado"),CONCATENATE("R10C",'Mapa final'!$T$68),"")</f>
        <v/>
      </c>
      <c r="Y15" s="45" t="str">
        <f>IF(AND('Mapa final'!$AD$69="Muy Alta",'Mapa final'!$AF$69="Moderado"),CONCATENATE("R10C",'Mapa final'!$T$69),"")</f>
        <v/>
      </c>
      <c r="Z15" s="45" t="str">
        <f>IF(AND('Mapa final'!$AD$70="Muy Alta",'Mapa final'!$AF$70="Moderado"),CONCATENATE("R10C",'Mapa final'!$T$70),"")</f>
        <v/>
      </c>
      <c r="AA15" s="46" t="str">
        <f>IF(AND('Mapa final'!$AD$71="Muy Alta",'Mapa final'!$AF$71="Moderado"),CONCATENATE("R10C",'Mapa final'!$T$71),"")</f>
        <v/>
      </c>
      <c r="AB15" s="38" t="str">
        <f>IF(AND('Mapa final'!$AD$66="Muy Alta",'Mapa final'!$AF$66="Mayor"),CONCATENATE("R10C",'Mapa final'!$T$66),"")</f>
        <v/>
      </c>
      <c r="AC15" s="39" t="str">
        <f>IF(AND('Mapa final'!$AD$67="Muy Alta",'Mapa final'!$AF$67="Mayor"),CONCATENATE("R10C",'Mapa final'!$T$67),"")</f>
        <v/>
      </c>
      <c r="AD15" s="39" t="str">
        <f>IF(AND('Mapa final'!$AD$68="Muy Alta",'Mapa final'!$AF$68="Mayor"),CONCATENATE("R10C",'Mapa final'!$T$68),"")</f>
        <v/>
      </c>
      <c r="AE15" s="39" t="str">
        <f>IF(AND('Mapa final'!$AD$69="Muy Alta",'Mapa final'!$AF$69="Mayor"),CONCATENATE("R10C",'Mapa final'!$T$69),"")</f>
        <v/>
      </c>
      <c r="AF15" s="39" t="str">
        <f>IF(AND('Mapa final'!$AD$70="Muy Alta",'Mapa final'!$AF$70="Mayor"),CONCATENATE("R10C",'Mapa final'!$T$70),"")</f>
        <v/>
      </c>
      <c r="AG15" s="40" t="str">
        <f>IF(AND('Mapa final'!$AD$71="Muy Alta",'Mapa final'!$AF$71="Mayor"),CONCATENATE("R10C",'Mapa final'!$T$71),"")</f>
        <v/>
      </c>
      <c r="AH15" s="47" t="str">
        <f>IF(AND('Mapa final'!$AD$66="Muy Alta",'Mapa final'!$AF$66="Catastrófico"),CONCATENATE("R10C",'Mapa final'!$T$66),"")</f>
        <v/>
      </c>
      <c r="AI15" s="48" t="str">
        <f>IF(AND('Mapa final'!$AD$67="Muy Alta",'Mapa final'!$AF$67="Catastrófico"),CONCATENATE("R10C",'Mapa final'!$T$67),"")</f>
        <v/>
      </c>
      <c r="AJ15" s="48" t="str">
        <f>IF(AND('Mapa final'!$AD$68="Muy Alta",'Mapa final'!$AF$68="Catastrófico"),CONCATENATE("R10C",'Mapa final'!$T$68),"")</f>
        <v/>
      </c>
      <c r="AK15" s="48" t="str">
        <f>IF(AND('Mapa final'!$AD$69="Muy Alta",'Mapa final'!$AF$69="Catastrófico"),CONCATENATE("R10C",'Mapa final'!$T$69),"")</f>
        <v/>
      </c>
      <c r="AL15" s="48" t="str">
        <f>IF(AND('Mapa final'!$AD$70="Muy Alta",'Mapa final'!$AF$70="Catastrófico"),CONCATENATE("R10C",'Mapa final'!$T$70),"")</f>
        <v/>
      </c>
      <c r="AM15" s="49" t="str">
        <f>IF(AND('Mapa final'!$AD$71="Muy Alta",'Mapa final'!$AF$71="Catastrófico"),CONCATENATE("R10C",'Mapa final'!$T$71),"")</f>
        <v/>
      </c>
      <c r="AN15" s="69"/>
      <c r="AO15" s="514"/>
      <c r="AP15" s="515"/>
      <c r="AQ15" s="515"/>
      <c r="AR15" s="515"/>
      <c r="AS15" s="515"/>
      <c r="AT15" s="516"/>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450"/>
      <c r="C16" s="450"/>
      <c r="D16" s="451"/>
      <c r="E16" s="488" t="s">
        <v>115</v>
      </c>
      <c r="F16" s="489"/>
      <c r="G16" s="489"/>
      <c r="H16" s="489"/>
      <c r="I16" s="489"/>
      <c r="J16" s="50" t="str">
        <f>IF(AND('Mapa final'!$AD$12="Alta",'Mapa final'!$AF$12="Leve"),CONCATENATE("R1C",'Mapa final'!$T$12),"")</f>
        <v/>
      </c>
      <c r="K16" s="51" t="str">
        <f>IF(AND('Mapa final'!$AD$13="Alta",'Mapa final'!$AF$13="Leve"),CONCATENATE("R1C",'Mapa final'!$T$13),"")</f>
        <v/>
      </c>
      <c r="L16" s="51" t="str">
        <f>IF(AND('Mapa final'!$AD$14="Alta",'Mapa final'!$AF$14="Leve"),CONCATENATE("R1C",'Mapa final'!$T$14),"")</f>
        <v/>
      </c>
      <c r="M16" s="51" t="str">
        <f>IF(AND('Mapa final'!$AD$15="Alta",'Mapa final'!$AF$15="Leve"),CONCATENATE("R1C",'Mapa final'!$T$15),"")</f>
        <v/>
      </c>
      <c r="N16" s="51" t="str">
        <f>IF(AND('Mapa final'!$AD$16="Alta",'Mapa final'!$AF$16="Leve"),CONCATENATE("R1C",'Mapa final'!$T$16),"")</f>
        <v/>
      </c>
      <c r="O16" s="52" t="str">
        <f>IF(AND('Mapa final'!$AD$17="Alta",'Mapa final'!$AF$17="Leve"),CONCATENATE("R1C",'Mapa final'!$T$17),"")</f>
        <v/>
      </c>
      <c r="P16" s="50" t="str">
        <f>IF(AND('Mapa final'!$AD$12="Alta",'Mapa final'!$AF$12="Menor"),CONCATENATE("R1C",'Mapa final'!$T$12),"")</f>
        <v/>
      </c>
      <c r="Q16" s="51" t="str">
        <f>IF(AND('Mapa final'!$AD$13="Alta",'Mapa final'!$AF$13="Menor"),CONCATENATE("R1C",'Mapa final'!$T$13),"")</f>
        <v/>
      </c>
      <c r="R16" s="51" t="str">
        <f>IF(AND('Mapa final'!$AD$14="Alta",'Mapa final'!$AF$14="Menor"),CONCATENATE("R1C",'Mapa final'!$T$14),"")</f>
        <v/>
      </c>
      <c r="S16" s="51" t="str">
        <f>IF(AND('Mapa final'!$AD$15="Alta",'Mapa final'!$AF$15="Menor"),CONCATENATE("R1C",'Mapa final'!$T$15),"")</f>
        <v/>
      </c>
      <c r="T16" s="51" t="str">
        <f>IF(AND('Mapa final'!$AD$16="Alta",'Mapa final'!$AF$16="Menor"),CONCATENATE("R1C",'Mapa final'!$T$16),"")</f>
        <v/>
      </c>
      <c r="U16" s="52" t="str">
        <f>IF(AND('Mapa final'!$AD$17="Alta",'Mapa final'!$AF$17="Menor"),CONCATENATE("R1C",'Mapa final'!$T$17),"")</f>
        <v/>
      </c>
      <c r="V16" s="32" t="str">
        <f>IF(AND('Mapa final'!$AD$12="Alta",'Mapa final'!$AF$12="Moderado"),CONCATENATE("R1C",'Mapa final'!$T$12),"")</f>
        <v/>
      </c>
      <c r="W16" s="33" t="str">
        <f>IF(AND('Mapa final'!$AD$13="Alta",'Mapa final'!$AF$13="Moderado"),CONCATENATE("R1C",'Mapa final'!$T$13),"")</f>
        <v/>
      </c>
      <c r="X16" s="33" t="str">
        <f>IF(AND('Mapa final'!$AD$14="Alta",'Mapa final'!$AF$14="Moderado"),CONCATENATE("R1C",'Mapa final'!$T$14),"")</f>
        <v/>
      </c>
      <c r="Y16" s="33" t="str">
        <f>IF(AND('Mapa final'!$AD$15="Alta",'Mapa final'!$AF$15="Moderado"),CONCATENATE("R1C",'Mapa final'!$T$15),"")</f>
        <v/>
      </c>
      <c r="Z16" s="33" t="str">
        <f>IF(AND('Mapa final'!$AD$16="Alta",'Mapa final'!$AF$16="Moderado"),CONCATENATE("R1C",'Mapa final'!$T$16),"")</f>
        <v/>
      </c>
      <c r="AA16" s="34" t="str">
        <f>IF(AND('Mapa final'!$AD$17="Alta",'Mapa final'!$AF$17="Moderado"),CONCATENATE("R1C",'Mapa final'!$T$17),"")</f>
        <v/>
      </c>
      <c r="AB16" s="32" t="str">
        <f>IF(AND('Mapa final'!$AD$12="Alta",'Mapa final'!$AF$12="Mayor"),CONCATENATE("R1C",'Mapa final'!$T$12),"")</f>
        <v/>
      </c>
      <c r="AC16" s="33" t="str">
        <f>IF(AND('Mapa final'!$AD$13="Alta",'Mapa final'!$AF$13="Mayor"),CONCATENATE("R1C",'Mapa final'!$T$13),"")</f>
        <v/>
      </c>
      <c r="AD16" s="33" t="str">
        <f>IF(AND('Mapa final'!$AD$14="Alta",'Mapa final'!$AF$14="Mayor"),CONCATENATE("R1C",'Mapa final'!$T$14),"")</f>
        <v/>
      </c>
      <c r="AE16" s="33" t="str">
        <f>IF(AND('Mapa final'!$AD$15="Alta",'Mapa final'!$AF$15="Mayor"),CONCATENATE("R1C",'Mapa final'!$T$15),"")</f>
        <v/>
      </c>
      <c r="AF16" s="33" t="str">
        <f>IF(AND('Mapa final'!$AD$16="Alta",'Mapa final'!$AF$16="Mayor"),CONCATENATE("R1C",'Mapa final'!$T$16),"")</f>
        <v/>
      </c>
      <c r="AG16" s="34" t="str">
        <f>IF(AND('Mapa final'!$AD$17="Alta",'Mapa final'!$AF$17="Mayor"),CONCATENATE("R1C",'Mapa final'!$T$17),"")</f>
        <v/>
      </c>
      <c r="AH16" s="35" t="str">
        <f>IF(AND('Mapa final'!$AD$12="Alta",'Mapa final'!$AF$12="Catastrófico"),CONCATENATE("R1C",'Mapa final'!$T$12),"")</f>
        <v/>
      </c>
      <c r="AI16" s="36" t="str">
        <f>IF(AND('Mapa final'!$AD$13="Alta",'Mapa final'!$AF$13="Catastrófico"),CONCATENATE("R1C",'Mapa final'!$T$13),"")</f>
        <v/>
      </c>
      <c r="AJ16" s="36" t="str">
        <f>IF(AND('Mapa final'!$AD$14="Alta",'Mapa final'!$AF$14="Catastrófico"),CONCATENATE("R1C",'Mapa final'!$T$14),"")</f>
        <v/>
      </c>
      <c r="AK16" s="36" t="str">
        <f>IF(AND('Mapa final'!$AD$15="Alta",'Mapa final'!$AF$15="Catastrófico"),CONCATENATE("R1C",'Mapa final'!$T$15),"")</f>
        <v/>
      </c>
      <c r="AL16" s="36" t="str">
        <f>IF(AND('Mapa final'!$AD$16="Alta",'Mapa final'!$AF$16="Catastrófico"),CONCATENATE("R1C",'Mapa final'!$T$16),"")</f>
        <v/>
      </c>
      <c r="AM16" s="37" t="str">
        <f>IF(AND('Mapa final'!$AD$17="Alta",'Mapa final'!$AF$17="Catastrófico"),CONCATENATE("R1C",'Mapa final'!$T$17),"")</f>
        <v/>
      </c>
      <c r="AN16" s="69"/>
      <c r="AO16" s="498" t="s">
        <v>80</v>
      </c>
      <c r="AP16" s="499"/>
      <c r="AQ16" s="499"/>
      <c r="AR16" s="499"/>
      <c r="AS16" s="499"/>
      <c r="AT16" s="500"/>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450"/>
      <c r="C17" s="450"/>
      <c r="D17" s="451"/>
      <c r="E17" s="507"/>
      <c r="F17" s="492"/>
      <c r="G17" s="492"/>
      <c r="H17" s="492"/>
      <c r="I17" s="492"/>
      <c r="J17" s="53" t="str">
        <f>IF(AND('Mapa final'!$AD$18="Alta",'Mapa final'!$AF$18="Leve"),CONCATENATE("R2C",'Mapa final'!$T$18),"")</f>
        <v/>
      </c>
      <c r="K17" s="54" t="str">
        <f>IF(AND('Mapa final'!$AD$19="Alta",'Mapa final'!$AF$19="Leve"),CONCATENATE("R2C",'Mapa final'!$T$19),"")</f>
        <v/>
      </c>
      <c r="L17" s="54" t="str">
        <f>IF(AND('Mapa final'!$AD$20="Alta",'Mapa final'!$AF$20="Leve"),CONCATENATE("R2C",'Mapa final'!$T$20),"")</f>
        <v/>
      </c>
      <c r="M17" s="54" t="str">
        <f>IF(AND('Mapa final'!$AD$21="Alta",'Mapa final'!$AF$21="Leve"),CONCATENATE("R2C",'Mapa final'!$T$21),"")</f>
        <v/>
      </c>
      <c r="N17" s="54" t="str">
        <f>IF(AND('Mapa final'!$AD$22="Alta",'Mapa final'!$AF$22="Leve"),CONCATENATE("R2C",'Mapa final'!$T$22),"")</f>
        <v/>
      </c>
      <c r="O17" s="55" t="str">
        <f>IF(AND('Mapa final'!$AD$23="Alta",'Mapa final'!$AF$23="Leve"),CONCATENATE("R2C",'Mapa final'!$T$23),"")</f>
        <v/>
      </c>
      <c r="P17" s="53" t="str">
        <f>IF(AND('Mapa final'!$AD$18="Alta",'Mapa final'!$AF$18="Menor"),CONCATENATE("R2C",'Mapa final'!$T$18),"")</f>
        <v/>
      </c>
      <c r="Q17" s="54" t="str">
        <f>IF(AND('Mapa final'!$AD$19="Alta",'Mapa final'!$AF$19="Menor"),CONCATENATE("R2C",'Mapa final'!$T$19),"")</f>
        <v/>
      </c>
      <c r="R17" s="54" t="str">
        <f>IF(AND('Mapa final'!$AD$20="Alta",'Mapa final'!$AF$20="Menor"),CONCATENATE("R2C",'Mapa final'!$T$20),"")</f>
        <v/>
      </c>
      <c r="S17" s="54" t="str">
        <f>IF(AND('Mapa final'!$AD$21="Alta",'Mapa final'!$AF$21="Menor"),CONCATENATE("R2C",'Mapa final'!$T$21),"")</f>
        <v/>
      </c>
      <c r="T17" s="54" t="str">
        <f>IF(AND('Mapa final'!$AD$22="Alta",'Mapa final'!$AF$22="Menor"),CONCATENATE("R2C",'Mapa final'!$T$22),"")</f>
        <v/>
      </c>
      <c r="U17" s="55" t="str">
        <f>IF(AND('Mapa final'!$AD$23="Alta",'Mapa final'!$AF$23="Menor"),CONCATENATE("R2C",'Mapa final'!$T$23),"")</f>
        <v/>
      </c>
      <c r="V17" s="38" t="str">
        <f>IF(AND('Mapa final'!$AD$18="Alta",'Mapa final'!$AF$18="Moderado"),CONCATENATE("R2C",'Mapa final'!$T$18),"")</f>
        <v/>
      </c>
      <c r="W17" s="39" t="str">
        <f>IF(AND('Mapa final'!$AD$19="Alta",'Mapa final'!$AF$19="Moderado"),CONCATENATE("R2C",'Mapa final'!$T$19),"")</f>
        <v/>
      </c>
      <c r="X17" s="39" t="str">
        <f>IF(AND('Mapa final'!$AD$20="Alta",'Mapa final'!$AF$20="Moderado"),CONCATENATE("R2C",'Mapa final'!$T$20),"")</f>
        <v/>
      </c>
      <c r="Y17" s="39" t="str">
        <f>IF(AND('Mapa final'!$AD$21="Alta",'Mapa final'!$AF$21="Moderado"),CONCATENATE("R2C",'Mapa final'!$T$21),"")</f>
        <v/>
      </c>
      <c r="Z17" s="39" t="str">
        <f>IF(AND('Mapa final'!$AD$22="Alta",'Mapa final'!$AF$22="Moderado"),CONCATENATE("R2C",'Mapa final'!$T$22),"")</f>
        <v/>
      </c>
      <c r="AA17" s="40" t="str">
        <f>IF(AND('Mapa final'!$AD$23="Alta",'Mapa final'!$AF$23="Moderado"),CONCATENATE("R2C",'Mapa final'!$T$23),"")</f>
        <v/>
      </c>
      <c r="AB17" s="38" t="str">
        <f>IF(AND('Mapa final'!$AD$18="Alta",'Mapa final'!$AF$18="Mayor"),CONCATENATE("R2C",'Mapa final'!$T$18),"")</f>
        <v/>
      </c>
      <c r="AC17" s="39" t="str">
        <f>IF(AND('Mapa final'!$AD$19="Alta",'Mapa final'!$AF$19="Mayor"),CONCATENATE("R2C",'Mapa final'!$T$19),"")</f>
        <v/>
      </c>
      <c r="AD17" s="39" t="str">
        <f>IF(AND('Mapa final'!$AD$20="Alta",'Mapa final'!$AF$20="Mayor"),CONCATENATE("R2C",'Mapa final'!$T$20),"")</f>
        <v/>
      </c>
      <c r="AE17" s="39" t="str">
        <f>IF(AND('Mapa final'!$AD$21="Alta",'Mapa final'!$AF$21="Mayor"),CONCATENATE("R2C",'Mapa final'!$T$21),"")</f>
        <v/>
      </c>
      <c r="AF17" s="39" t="str">
        <f>IF(AND('Mapa final'!$AD$22="Alta",'Mapa final'!$AF$22="Mayor"),CONCATENATE("R2C",'Mapa final'!$T$22),"")</f>
        <v/>
      </c>
      <c r="AG17" s="40" t="str">
        <f>IF(AND('Mapa final'!$AD$23="Alta",'Mapa final'!$AF$23="Mayor"),CONCATENATE("R2C",'Mapa final'!$T$23),"")</f>
        <v/>
      </c>
      <c r="AH17" s="41" t="str">
        <f>IF(AND('Mapa final'!$AD$18="Alta",'Mapa final'!$AF$18="Catastrófico"),CONCATENATE("R2C",'Mapa final'!$T$18),"")</f>
        <v/>
      </c>
      <c r="AI17" s="42" t="str">
        <f>IF(AND('Mapa final'!$AD$19="Alta",'Mapa final'!$AF$19="Catastrófico"),CONCATENATE("R2C",'Mapa final'!$T$19),"")</f>
        <v/>
      </c>
      <c r="AJ17" s="42" t="str">
        <f>IF(AND('Mapa final'!$AD$20="Alta",'Mapa final'!$AF$20="Catastrófico"),CONCATENATE("R2C",'Mapa final'!$T$20),"")</f>
        <v/>
      </c>
      <c r="AK17" s="42" t="str">
        <f>IF(AND('Mapa final'!$AD$21="Alta",'Mapa final'!$AF$21="Catastrófico"),CONCATENATE("R2C",'Mapa final'!$T$21),"")</f>
        <v/>
      </c>
      <c r="AL17" s="42" t="str">
        <f>IF(AND('Mapa final'!$AD$22="Alta",'Mapa final'!$AF$22="Catastrófico"),CONCATENATE("R2C",'Mapa final'!$T$22),"")</f>
        <v/>
      </c>
      <c r="AM17" s="43" t="str">
        <f>IF(AND('Mapa final'!$AD$23="Alta",'Mapa final'!$AF$23="Catastrófico"),CONCATENATE("R2C",'Mapa final'!$T$23),"")</f>
        <v/>
      </c>
      <c r="AN17" s="69"/>
      <c r="AO17" s="501"/>
      <c r="AP17" s="502"/>
      <c r="AQ17" s="502"/>
      <c r="AR17" s="502"/>
      <c r="AS17" s="502"/>
      <c r="AT17" s="503"/>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450"/>
      <c r="C18" s="450"/>
      <c r="D18" s="451"/>
      <c r="E18" s="491"/>
      <c r="F18" s="492"/>
      <c r="G18" s="492"/>
      <c r="H18" s="492"/>
      <c r="I18" s="492"/>
      <c r="J18" s="53" t="str">
        <f>IF(AND('Mapa final'!$AD$24="Alta",'Mapa final'!$AF$24="Leve"),CONCATENATE("R3C",'Mapa final'!$T$24),"")</f>
        <v/>
      </c>
      <c r="K18" s="54" t="str">
        <f>IF(AND('Mapa final'!$AD$25="Alta",'Mapa final'!$AF$25="Leve"),CONCATENATE("R3C",'Mapa final'!$T$25),"")</f>
        <v/>
      </c>
      <c r="L18" s="54" t="str">
        <f>IF(AND('Mapa final'!$AD$26="Alta",'Mapa final'!$AF$26="Leve"),CONCATENATE("R3C",'Mapa final'!$T$26),"")</f>
        <v/>
      </c>
      <c r="M18" s="54" t="str">
        <f>IF(AND('Mapa final'!$AD$27="Alta",'Mapa final'!$AF$27="Leve"),CONCATENATE("R3C",'Mapa final'!$T$27),"")</f>
        <v/>
      </c>
      <c r="N18" s="54" t="str">
        <f>IF(AND('Mapa final'!$AD$28="Alta",'Mapa final'!$AF$28="Leve"),CONCATENATE("R3C",'Mapa final'!$T$28),"")</f>
        <v/>
      </c>
      <c r="O18" s="55" t="str">
        <f>IF(AND('Mapa final'!$AD$29="Alta",'Mapa final'!$AF$29="Leve"),CONCATENATE("R3C",'Mapa final'!$T$29),"")</f>
        <v/>
      </c>
      <c r="P18" s="53" t="str">
        <f>IF(AND('Mapa final'!$AD$24="Alta",'Mapa final'!$AF$24="Menor"),CONCATENATE("R3C",'Mapa final'!$T$24),"")</f>
        <v/>
      </c>
      <c r="Q18" s="54" t="str">
        <f>IF(AND('Mapa final'!$AD$25="Alta",'Mapa final'!$AF$25="Menor"),CONCATENATE("R3C",'Mapa final'!$T$25),"")</f>
        <v/>
      </c>
      <c r="R18" s="54" t="str">
        <f>IF(AND('Mapa final'!$AD$26="Alta",'Mapa final'!$AF$26="Menor"),CONCATENATE("R3C",'Mapa final'!$T$26),"")</f>
        <v/>
      </c>
      <c r="S18" s="54" t="str">
        <f>IF(AND('Mapa final'!$AD$27="Alta",'Mapa final'!$AF$27="Menor"),CONCATENATE("R3C",'Mapa final'!$T$27),"")</f>
        <v/>
      </c>
      <c r="T18" s="54" t="str">
        <f>IF(AND('Mapa final'!$AD$28="Alta",'Mapa final'!$AF$28="Menor"),CONCATENATE("R3C",'Mapa final'!$T$28),"")</f>
        <v/>
      </c>
      <c r="U18" s="55" t="str">
        <f>IF(AND('Mapa final'!$AD$29="Alta",'Mapa final'!$AF$29="Menor"),CONCATENATE("R3C",'Mapa final'!$T$29),"")</f>
        <v/>
      </c>
      <c r="V18" s="38" t="str">
        <f>IF(AND('Mapa final'!$AD$24="Alta",'Mapa final'!$AF$24="Moderado"),CONCATENATE("R3C",'Mapa final'!$T$24),"")</f>
        <v/>
      </c>
      <c r="W18" s="39" t="str">
        <f>IF(AND('Mapa final'!$AD$25="Alta",'Mapa final'!$AF$25="Moderado"),CONCATENATE("R3C",'Mapa final'!$T$25),"")</f>
        <v/>
      </c>
      <c r="X18" s="39" t="str">
        <f>IF(AND('Mapa final'!$AD$26="Alta",'Mapa final'!$AF$26="Moderado"),CONCATENATE("R3C",'Mapa final'!$T$26),"")</f>
        <v/>
      </c>
      <c r="Y18" s="39" t="str">
        <f>IF(AND('Mapa final'!$AD$27="Alta",'Mapa final'!$AF$27="Moderado"),CONCATENATE("R3C",'Mapa final'!$T$27),"")</f>
        <v/>
      </c>
      <c r="Z18" s="39" t="str">
        <f>IF(AND('Mapa final'!$AD$28="Alta",'Mapa final'!$AF$28="Moderado"),CONCATENATE("R3C",'Mapa final'!$T$28),"")</f>
        <v/>
      </c>
      <c r="AA18" s="40" t="str">
        <f>IF(AND('Mapa final'!$AD$29="Alta",'Mapa final'!$AF$29="Moderado"),CONCATENATE("R3C",'Mapa final'!$T$29),"")</f>
        <v/>
      </c>
      <c r="AB18" s="38" t="str">
        <f>IF(AND('Mapa final'!$AD$24="Alta",'Mapa final'!$AF$24="Mayor"),CONCATENATE("R3C",'Mapa final'!$T$24),"")</f>
        <v/>
      </c>
      <c r="AC18" s="39" t="str">
        <f>IF(AND('Mapa final'!$AD$25="Alta",'Mapa final'!$AF$25="Mayor"),CONCATENATE("R3C",'Mapa final'!$T$25),"")</f>
        <v/>
      </c>
      <c r="AD18" s="39" t="str">
        <f>IF(AND('Mapa final'!$AD$26="Alta",'Mapa final'!$AF$26="Mayor"),CONCATENATE("R3C",'Mapa final'!$T$26),"")</f>
        <v/>
      </c>
      <c r="AE18" s="39" t="str">
        <f>IF(AND('Mapa final'!$AD$27="Alta",'Mapa final'!$AF$27="Mayor"),CONCATENATE("R3C",'Mapa final'!$T$27),"")</f>
        <v/>
      </c>
      <c r="AF18" s="39" t="str">
        <f>IF(AND('Mapa final'!$AD$28="Alta",'Mapa final'!$AF$28="Mayor"),CONCATENATE("R3C",'Mapa final'!$T$28),"")</f>
        <v/>
      </c>
      <c r="AG18" s="40" t="str">
        <f>IF(AND('Mapa final'!$AD$29="Alta",'Mapa final'!$AF$29="Mayor"),CONCATENATE("R3C",'Mapa final'!$T$29),"")</f>
        <v/>
      </c>
      <c r="AH18" s="41" t="str">
        <f>IF(AND('Mapa final'!$AD$24="Alta",'Mapa final'!$AF$24="Catastrófico"),CONCATENATE("R3C",'Mapa final'!$T$24),"")</f>
        <v/>
      </c>
      <c r="AI18" s="42" t="str">
        <f>IF(AND('Mapa final'!$AD$25="Alta",'Mapa final'!$AF$25="Catastrófico"),CONCATENATE("R3C",'Mapa final'!$T$25),"")</f>
        <v/>
      </c>
      <c r="AJ18" s="42" t="str">
        <f>IF(AND('Mapa final'!$AD$26="Alta",'Mapa final'!$AF$26="Catastrófico"),CONCATENATE("R3C",'Mapa final'!$T$26),"")</f>
        <v/>
      </c>
      <c r="AK18" s="42" t="str">
        <f>IF(AND('Mapa final'!$AD$27="Alta",'Mapa final'!$AF$27="Catastrófico"),CONCATENATE("R3C",'Mapa final'!$T$27),"")</f>
        <v/>
      </c>
      <c r="AL18" s="42" t="str">
        <f>IF(AND('Mapa final'!$AD$28="Alta",'Mapa final'!$AF$28="Catastrófico"),CONCATENATE("R3C",'Mapa final'!$T$28),"")</f>
        <v/>
      </c>
      <c r="AM18" s="43" t="str">
        <f>IF(AND('Mapa final'!$AD$29="Alta",'Mapa final'!$AF$29="Catastrófico"),CONCATENATE("R3C",'Mapa final'!$T$29),"")</f>
        <v/>
      </c>
      <c r="AN18" s="69"/>
      <c r="AO18" s="501"/>
      <c r="AP18" s="502"/>
      <c r="AQ18" s="502"/>
      <c r="AR18" s="502"/>
      <c r="AS18" s="502"/>
      <c r="AT18" s="503"/>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450"/>
      <c r="C19" s="450"/>
      <c r="D19" s="451"/>
      <c r="E19" s="491"/>
      <c r="F19" s="492"/>
      <c r="G19" s="492"/>
      <c r="H19" s="492"/>
      <c r="I19" s="492"/>
      <c r="J19" s="53" t="str">
        <f>IF(AND('Mapa final'!$AD$30="Alta",'Mapa final'!$AF$30="Leve"),CONCATENATE("R4C",'Mapa final'!$T$30),"")</f>
        <v/>
      </c>
      <c r="K19" s="54" t="str">
        <f>IF(AND('Mapa final'!$AD$31="Alta",'Mapa final'!$AF$31="Leve"),CONCATENATE("R4C",'Mapa final'!$T$31),"")</f>
        <v/>
      </c>
      <c r="L19" s="54" t="str">
        <f>IF(AND('Mapa final'!$AD$32="Alta",'Mapa final'!$AF$32="Leve"),CONCATENATE("R4C",'Mapa final'!$T$32),"")</f>
        <v/>
      </c>
      <c r="M19" s="54" t="str">
        <f>IF(AND('Mapa final'!$AD$33="Alta",'Mapa final'!$AF$33="Leve"),CONCATENATE("R4C",'Mapa final'!$T$33),"")</f>
        <v/>
      </c>
      <c r="N19" s="54" t="str">
        <f>IF(AND('Mapa final'!$AD$34="Alta",'Mapa final'!$AF$34="Leve"),CONCATENATE("R4C",'Mapa final'!$T$34),"")</f>
        <v/>
      </c>
      <c r="O19" s="55" t="str">
        <f>IF(AND('Mapa final'!$AD$35="Alta",'Mapa final'!$AF$35="Leve"),CONCATENATE("R4C",'Mapa final'!$T$35),"")</f>
        <v/>
      </c>
      <c r="P19" s="53" t="str">
        <f>IF(AND('Mapa final'!$AD$30="Alta",'Mapa final'!$AF$30="Menor"),CONCATENATE("R4C",'Mapa final'!$T$30),"")</f>
        <v/>
      </c>
      <c r="Q19" s="54" t="str">
        <f>IF(AND('Mapa final'!$AD$31="Alta",'Mapa final'!$AF$31="Menor"),CONCATENATE("R4C",'Mapa final'!$T$31),"")</f>
        <v/>
      </c>
      <c r="R19" s="54" t="str">
        <f>IF(AND('Mapa final'!$AD$32="Alta",'Mapa final'!$AF$32="Menor"),CONCATENATE("R4C",'Mapa final'!$T$32),"")</f>
        <v/>
      </c>
      <c r="S19" s="54" t="str">
        <f>IF(AND('Mapa final'!$AD$33="Alta",'Mapa final'!$AF$33="Menor"),CONCATENATE("R4C",'Mapa final'!$T$33),"")</f>
        <v/>
      </c>
      <c r="T19" s="54" t="str">
        <f>IF(AND('Mapa final'!$AD$34="Alta",'Mapa final'!$AF$34="Menor"),CONCATENATE("R4C",'Mapa final'!$T$34),"")</f>
        <v/>
      </c>
      <c r="U19" s="55" t="str">
        <f>IF(AND('Mapa final'!$AD$35="Alta",'Mapa final'!$AF$35="Menor"),CONCATENATE("R4C",'Mapa final'!$T$35),"")</f>
        <v/>
      </c>
      <c r="V19" s="38" t="str">
        <f>IF(AND('Mapa final'!$AD$30="Alta",'Mapa final'!$AF$30="Moderado"),CONCATENATE("R4C",'Mapa final'!$T$30),"")</f>
        <v/>
      </c>
      <c r="W19" s="39" t="str">
        <f>IF(AND('Mapa final'!$AD$31="Alta",'Mapa final'!$AF$31="Moderado"),CONCATENATE("R4C",'Mapa final'!$T$31),"")</f>
        <v/>
      </c>
      <c r="X19" s="39" t="str">
        <f>IF(AND('Mapa final'!$AD$32="Alta",'Mapa final'!$AF$32="Moderado"),CONCATENATE("R4C",'Mapa final'!$T$32),"")</f>
        <v/>
      </c>
      <c r="Y19" s="39" t="str">
        <f>IF(AND('Mapa final'!$AD$33="Alta",'Mapa final'!$AF$33="Moderado"),CONCATENATE("R4C",'Mapa final'!$T$33),"")</f>
        <v/>
      </c>
      <c r="Z19" s="39" t="str">
        <f>IF(AND('Mapa final'!$AD$34="Alta",'Mapa final'!$AF$34="Moderado"),CONCATENATE("R4C",'Mapa final'!$T$34),"")</f>
        <v/>
      </c>
      <c r="AA19" s="40" t="str">
        <f>IF(AND('Mapa final'!$AD$35="Alta",'Mapa final'!$AF$35="Moderado"),CONCATENATE("R4C",'Mapa final'!$T$35),"")</f>
        <v/>
      </c>
      <c r="AB19" s="38" t="str">
        <f>IF(AND('Mapa final'!$AD$30="Alta",'Mapa final'!$AF$30="Mayor"),CONCATENATE("R4C",'Mapa final'!$T$30),"")</f>
        <v/>
      </c>
      <c r="AC19" s="39" t="str">
        <f>IF(AND('Mapa final'!$AD$31="Alta",'Mapa final'!$AF$31="Mayor"),CONCATENATE("R4C",'Mapa final'!$T$31),"")</f>
        <v/>
      </c>
      <c r="AD19" s="39" t="str">
        <f>IF(AND('Mapa final'!$AD$32="Alta",'Mapa final'!$AF$32="Mayor"),CONCATENATE("R4C",'Mapa final'!$T$32),"")</f>
        <v/>
      </c>
      <c r="AE19" s="39" t="str">
        <f>IF(AND('Mapa final'!$AD$33="Alta",'Mapa final'!$AF$33="Mayor"),CONCATENATE("R4C",'Mapa final'!$T$33),"")</f>
        <v/>
      </c>
      <c r="AF19" s="39" t="str">
        <f>IF(AND('Mapa final'!$AD$34="Alta",'Mapa final'!$AF$34="Mayor"),CONCATENATE("R4C",'Mapa final'!$T$34),"")</f>
        <v/>
      </c>
      <c r="AG19" s="40" t="str">
        <f>IF(AND('Mapa final'!$AD$35="Alta",'Mapa final'!$AF$35="Mayor"),CONCATENATE("R4C",'Mapa final'!$T$35),"")</f>
        <v/>
      </c>
      <c r="AH19" s="41" t="str">
        <f>IF(AND('Mapa final'!$AD$30="Alta",'Mapa final'!$AF$30="Catastrófico"),CONCATENATE("R4C",'Mapa final'!$T$30),"")</f>
        <v/>
      </c>
      <c r="AI19" s="42" t="str">
        <f>IF(AND('Mapa final'!$AD$31="Alta",'Mapa final'!$AF$31="Catastrófico"),CONCATENATE("R4C",'Mapa final'!$T$31),"")</f>
        <v/>
      </c>
      <c r="AJ19" s="42" t="str">
        <f>IF(AND('Mapa final'!$AD$32="Alta",'Mapa final'!$AF$32="Catastrófico"),CONCATENATE("R4C",'Mapa final'!$T$32),"")</f>
        <v/>
      </c>
      <c r="AK19" s="42" t="str">
        <f>IF(AND('Mapa final'!$AD$33="Alta",'Mapa final'!$AF$33="Catastrófico"),CONCATENATE("R4C",'Mapa final'!$T$33),"")</f>
        <v/>
      </c>
      <c r="AL19" s="42" t="str">
        <f>IF(AND('Mapa final'!$AD$34="Alta",'Mapa final'!$AF$34="Catastrófico"),CONCATENATE("R4C",'Mapa final'!$T$34),"")</f>
        <v/>
      </c>
      <c r="AM19" s="43" t="str">
        <f>IF(AND('Mapa final'!$AD$35="Alta",'Mapa final'!$AF$35="Catastrófico"),CONCATENATE("R4C",'Mapa final'!$T$35),"")</f>
        <v/>
      </c>
      <c r="AN19" s="69"/>
      <c r="AO19" s="501"/>
      <c r="AP19" s="502"/>
      <c r="AQ19" s="502"/>
      <c r="AR19" s="502"/>
      <c r="AS19" s="502"/>
      <c r="AT19" s="503"/>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450"/>
      <c r="C20" s="450"/>
      <c r="D20" s="451"/>
      <c r="E20" s="491"/>
      <c r="F20" s="492"/>
      <c r="G20" s="492"/>
      <c r="H20" s="492"/>
      <c r="I20" s="492"/>
      <c r="J20" s="53" t="str">
        <f>IF(AND('Mapa final'!$AD$36="Alta",'Mapa final'!$AF$36="Leve"),CONCATENATE("R5C",'Mapa final'!$T$36),"")</f>
        <v/>
      </c>
      <c r="K20" s="54" t="str">
        <f>IF(AND('Mapa final'!$AD$37="Alta",'Mapa final'!$AF$37="Leve"),CONCATENATE("R5C",'Mapa final'!$T$37),"")</f>
        <v/>
      </c>
      <c r="L20" s="54" t="str">
        <f>IF(AND('Mapa final'!$AD$38="Alta",'Mapa final'!$AF$38="Leve"),CONCATENATE("R5C",'Mapa final'!$T$38),"")</f>
        <v/>
      </c>
      <c r="M20" s="54" t="str">
        <f>IF(AND('Mapa final'!$AD$39="Alta",'Mapa final'!$AF$39="Leve"),CONCATENATE("R5C",'Mapa final'!$T$39),"")</f>
        <v/>
      </c>
      <c r="N20" s="54" t="str">
        <f>IF(AND('Mapa final'!$AD$40="Alta",'Mapa final'!$AF$40="Leve"),CONCATENATE("R5C",'Mapa final'!$T$40),"")</f>
        <v/>
      </c>
      <c r="O20" s="55" t="str">
        <f>IF(AND('Mapa final'!$AD$41="Alta",'Mapa final'!$AF$41="Leve"),CONCATENATE("R5C",'Mapa final'!$T$41),"")</f>
        <v/>
      </c>
      <c r="P20" s="53" t="str">
        <f>IF(AND('Mapa final'!$AD$36="Alta",'Mapa final'!$AF$36="Menor"),CONCATENATE("R5C",'Mapa final'!$T$36),"")</f>
        <v/>
      </c>
      <c r="Q20" s="54" t="str">
        <f>IF(AND('Mapa final'!$AD$37="Alta",'Mapa final'!$AF$37="Menor"),CONCATENATE("R5C",'Mapa final'!$T$37),"")</f>
        <v/>
      </c>
      <c r="R20" s="54" t="str">
        <f>IF(AND('Mapa final'!$AD$38="Alta",'Mapa final'!$AF$38="Menor"),CONCATENATE("R5C",'Mapa final'!$T$38),"")</f>
        <v/>
      </c>
      <c r="S20" s="54" t="str">
        <f>IF(AND('Mapa final'!$AD$39="Alta",'Mapa final'!$AF$39="Menor"),CONCATENATE("R5C",'Mapa final'!$T$39),"")</f>
        <v/>
      </c>
      <c r="T20" s="54" t="str">
        <f>IF(AND('Mapa final'!$AD$40="Alta",'Mapa final'!$AF$40="Menor"),CONCATENATE("R5C",'Mapa final'!$T$40),"")</f>
        <v/>
      </c>
      <c r="U20" s="55" t="str">
        <f>IF(AND('Mapa final'!$AD$41="Alta",'Mapa final'!$AF$41="Menor"),CONCATENATE("R5C",'Mapa final'!$T$41),"")</f>
        <v/>
      </c>
      <c r="V20" s="38" t="str">
        <f>IF(AND('Mapa final'!$AD$36="Alta",'Mapa final'!$AF$36="Moderado"),CONCATENATE("R5C",'Mapa final'!$T$36),"")</f>
        <v/>
      </c>
      <c r="W20" s="39" t="str">
        <f>IF(AND('Mapa final'!$AD$37="Alta",'Mapa final'!$AF$37="Moderado"),CONCATENATE("R5C",'Mapa final'!$T$37),"")</f>
        <v/>
      </c>
      <c r="X20" s="39" t="str">
        <f>IF(AND('Mapa final'!$AD$38="Alta",'Mapa final'!$AF$38="Moderado"),CONCATENATE("R5C",'Mapa final'!$T$38),"")</f>
        <v/>
      </c>
      <c r="Y20" s="39" t="str">
        <f>IF(AND('Mapa final'!$AD$39="Alta",'Mapa final'!$AF$39="Moderado"),CONCATENATE("R5C",'Mapa final'!$T$39),"")</f>
        <v/>
      </c>
      <c r="Z20" s="39" t="str">
        <f>IF(AND('Mapa final'!$AD$40="Alta",'Mapa final'!$AF$40="Moderado"),CONCATENATE("R5C",'Mapa final'!$T$40),"")</f>
        <v/>
      </c>
      <c r="AA20" s="40" t="str">
        <f>IF(AND('Mapa final'!$AD$41="Alta",'Mapa final'!$AF$41="Moderado"),CONCATENATE("R5C",'Mapa final'!$T$41),"")</f>
        <v/>
      </c>
      <c r="AB20" s="38" t="str">
        <f>IF(AND('Mapa final'!$AD$36="Alta",'Mapa final'!$AF$36="Mayor"),CONCATENATE("R5C",'Mapa final'!$T$36),"")</f>
        <v/>
      </c>
      <c r="AC20" s="39" t="str">
        <f>IF(AND('Mapa final'!$AD$37="Alta",'Mapa final'!$AF$37="Mayor"),CONCATENATE("R5C",'Mapa final'!$T$37),"")</f>
        <v/>
      </c>
      <c r="AD20" s="39" t="str">
        <f>IF(AND('Mapa final'!$AD$38="Alta",'Mapa final'!$AF$38="Mayor"),CONCATENATE("R5C",'Mapa final'!$T$38),"")</f>
        <v/>
      </c>
      <c r="AE20" s="39" t="str">
        <f>IF(AND('Mapa final'!$AD$39="Alta",'Mapa final'!$AF$39="Mayor"),CONCATENATE("R5C",'Mapa final'!$T$39),"")</f>
        <v/>
      </c>
      <c r="AF20" s="39" t="str">
        <f>IF(AND('Mapa final'!$AD$40="Alta",'Mapa final'!$AF$40="Mayor"),CONCATENATE("R5C",'Mapa final'!$T$40),"")</f>
        <v/>
      </c>
      <c r="AG20" s="40" t="str">
        <f>IF(AND('Mapa final'!$AD$41="Alta",'Mapa final'!$AF$41="Mayor"),CONCATENATE("R5C",'Mapa final'!$T$41),"")</f>
        <v/>
      </c>
      <c r="AH20" s="41" t="str">
        <f>IF(AND('Mapa final'!$AD$36="Alta",'Mapa final'!$AF$36="Catastrófico"),CONCATENATE("R5C",'Mapa final'!$T$36),"")</f>
        <v/>
      </c>
      <c r="AI20" s="42" t="str">
        <f>IF(AND('Mapa final'!$AD$37="Alta",'Mapa final'!$AF$37="Catastrófico"),CONCATENATE("R5C",'Mapa final'!$T$37),"")</f>
        <v/>
      </c>
      <c r="AJ20" s="42" t="str">
        <f>IF(AND('Mapa final'!$AD$38="Alta",'Mapa final'!$AF$38="Catastrófico"),CONCATENATE("R5C",'Mapa final'!$T$38),"")</f>
        <v/>
      </c>
      <c r="AK20" s="42" t="str">
        <f>IF(AND('Mapa final'!$AD$39="Alta",'Mapa final'!$AF$39="Catastrófico"),CONCATENATE("R5C",'Mapa final'!$T$39),"")</f>
        <v/>
      </c>
      <c r="AL20" s="42" t="str">
        <f>IF(AND('Mapa final'!$AD$40="Alta",'Mapa final'!$AF$40="Catastrófico"),CONCATENATE("R5C",'Mapa final'!$T$40),"")</f>
        <v/>
      </c>
      <c r="AM20" s="43" t="str">
        <f>IF(AND('Mapa final'!$AD$41="Alta",'Mapa final'!$AF$41="Catastrófico"),CONCATENATE("R5C",'Mapa final'!$T$41),"")</f>
        <v/>
      </c>
      <c r="AN20" s="69"/>
      <c r="AO20" s="501"/>
      <c r="AP20" s="502"/>
      <c r="AQ20" s="502"/>
      <c r="AR20" s="502"/>
      <c r="AS20" s="502"/>
      <c r="AT20" s="503"/>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450"/>
      <c r="C21" s="450"/>
      <c r="D21" s="451"/>
      <c r="E21" s="491"/>
      <c r="F21" s="492"/>
      <c r="G21" s="492"/>
      <c r="H21" s="492"/>
      <c r="I21" s="492"/>
      <c r="J21" s="53" t="str">
        <f>IF(AND('Mapa final'!$AD$42="Alta",'Mapa final'!$AF$42="Leve"),CONCATENATE("R6C",'Mapa final'!$T$42),"")</f>
        <v/>
      </c>
      <c r="K21" s="54" t="str">
        <f>IF(AND('Mapa final'!$AD$43="Alta",'Mapa final'!$AF$43="Leve"),CONCATENATE("R6C",'Mapa final'!$T$43),"")</f>
        <v/>
      </c>
      <c r="L21" s="54" t="str">
        <f>IF(AND('Mapa final'!$AD$44="Alta",'Mapa final'!$AF$44="Leve"),CONCATENATE("R6C",'Mapa final'!$T$44),"")</f>
        <v/>
      </c>
      <c r="M21" s="54" t="str">
        <f>IF(AND('Mapa final'!$AD$45="Alta",'Mapa final'!$AF$45="Leve"),CONCATENATE("R6C",'Mapa final'!$T$45),"")</f>
        <v/>
      </c>
      <c r="N21" s="54" t="str">
        <f>IF(AND('Mapa final'!$AD$46="Alta",'Mapa final'!$AF$46="Leve"),CONCATENATE("R6C",'Mapa final'!$T$46),"")</f>
        <v/>
      </c>
      <c r="O21" s="55" t="str">
        <f>IF(AND('Mapa final'!$AD$47="Alta",'Mapa final'!$AF$47="Leve"),CONCATENATE("R6C",'Mapa final'!$T$47),"")</f>
        <v/>
      </c>
      <c r="P21" s="53" t="str">
        <f>IF(AND('Mapa final'!$AD$42="Alta",'Mapa final'!$AF$42="Menor"),CONCATENATE("R6C",'Mapa final'!$T$42),"")</f>
        <v/>
      </c>
      <c r="Q21" s="54" t="str">
        <f>IF(AND('Mapa final'!$AD$43="Alta",'Mapa final'!$AF$43="Menor"),CONCATENATE("R6C",'Mapa final'!$T$43),"")</f>
        <v/>
      </c>
      <c r="R21" s="54" t="str">
        <f>IF(AND('Mapa final'!$AD$44="Alta",'Mapa final'!$AF$44="Menor"),CONCATENATE("R6C",'Mapa final'!$T$44),"")</f>
        <v/>
      </c>
      <c r="S21" s="54" t="str">
        <f>IF(AND('Mapa final'!$AD$45="Alta",'Mapa final'!$AF$45="Menor"),CONCATENATE("R6C",'Mapa final'!$T$45),"")</f>
        <v/>
      </c>
      <c r="T21" s="54" t="str">
        <f>IF(AND('Mapa final'!$AD$46="Alta",'Mapa final'!$AF$46="Menor"),CONCATENATE("R6C",'Mapa final'!$T$46),"")</f>
        <v/>
      </c>
      <c r="U21" s="55" t="str">
        <f>IF(AND('Mapa final'!$AD$47="Alta",'Mapa final'!$AF$47="Menor"),CONCATENATE("R6C",'Mapa final'!$T$47),"")</f>
        <v/>
      </c>
      <c r="V21" s="38" t="str">
        <f>IF(AND('Mapa final'!$AD$42="Alta",'Mapa final'!$AF$42="Moderado"),CONCATENATE("R6C",'Mapa final'!$T$42),"")</f>
        <v/>
      </c>
      <c r="W21" s="39" t="str">
        <f>IF(AND('Mapa final'!$AD$43="Alta",'Mapa final'!$AF$43="Moderado"),CONCATENATE("R6C",'Mapa final'!$T$43),"")</f>
        <v/>
      </c>
      <c r="X21" s="39" t="str">
        <f>IF(AND('Mapa final'!$AD$44="Alta",'Mapa final'!$AF$44="Moderado"),CONCATENATE("R6C",'Mapa final'!$T$44),"")</f>
        <v/>
      </c>
      <c r="Y21" s="39" t="str">
        <f>IF(AND('Mapa final'!$AD$45="Alta",'Mapa final'!$AF$45="Moderado"),CONCATENATE("R6C",'Mapa final'!$T$45),"")</f>
        <v/>
      </c>
      <c r="Z21" s="39" t="str">
        <f>IF(AND('Mapa final'!$AD$46="Alta",'Mapa final'!$AF$46="Moderado"),CONCATENATE("R6C",'Mapa final'!$T$46),"")</f>
        <v/>
      </c>
      <c r="AA21" s="40" t="str">
        <f>IF(AND('Mapa final'!$AD$47="Alta",'Mapa final'!$AF$47="Moderado"),CONCATENATE("R6C",'Mapa final'!$T$47),"")</f>
        <v/>
      </c>
      <c r="AB21" s="38" t="str">
        <f>IF(AND('Mapa final'!$AD$42="Alta",'Mapa final'!$AF$42="Mayor"),CONCATENATE("R6C",'Mapa final'!$T$42),"")</f>
        <v/>
      </c>
      <c r="AC21" s="39" t="str">
        <f>IF(AND('Mapa final'!$AD$43="Alta",'Mapa final'!$AF$43="Mayor"),CONCATENATE("R6C",'Mapa final'!$T$43),"")</f>
        <v/>
      </c>
      <c r="AD21" s="39" t="str">
        <f>IF(AND('Mapa final'!$AD$44="Alta",'Mapa final'!$AF$44="Mayor"),CONCATENATE("R6C",'Mapa final'!$T$44),"")</f>
        <v/>
      </c>
      <c r="AE21" s="39" t="str">
        <f>IF(AND('Mapa final'!$AD$45="Alta",'Mapa final'!$AF$45="Mayor"),CONCATENATE("R6C",'Mapa final'!$T$45),"")</f>
        <v/>
      </c>
      <c r="AF21" s="39" t="str">
        <f>IF(AND('Mapa final'!$AD$46="Alta",'Mapa final'!$AF$46="Mayor"),CONCATENATE("R6C",'Mapa final'!$T$46),"")</f>
        <v/>
      </c>
      <c r="AG21" s="40" t="str">
        <f>IF(AND('Mapa final'!$AD$47="Alta",'Mapa final'!$AF$47="Mayor"),CONCATENATE("R6C",'Mapa final'!$T$47),"")</f>
        <v/>
      </c>
      <c r="AH21" s="41" t="str">
        <f>IF(AND('Mapa final'!$AD$42="Alta",'Mapa final'!$AF$42="Catastrófico"),CONCATENATE("R6C",'Mapa final'!$T$42),"")</f>
        <v/>
      </c>
      <c r="AI21" s="42" t="str">
        <f>IF(AND('Mapa final'!$AD$43="Alta",'Mapa final'!$AF$43="Catastrófico"),CONCATENATE("R6C",'Mapa final'!$T$43),"")</f>
        <v/>
      </c>
      <c r="AJ21" s="42" t="str">
        <f>IF(AND('Mapa final'!$AD$44="Alta",'Mapa final'!$AF$44="Catastrófico"),CONCATENATE("R6C",'Mapa final'!$T$44),"")</f>
        <v/>
      </c>
      <c r="AK21" s="42" t="str">
        <f>IF(AND('Mapa final'!$AD$45="Alta",'Mapa final'!$AF$45="Catastrófico"),CONCATENATE("R6C",'Mapa final'!$T$45),"")</f>
        <v/>
      </c>
      <c r="AL21" s="42" t="str">
        <f>IF(AND('Mapa final'!$AD$46="Alta",'Mapa final'!$AF$46="Catastrófico"),CONCATENATE("R6C",'Mapa final'!$T$46),"")</f>
        <v/>
      </c>
      <c r="AM21" s="43" t="str">
        <f>IF(AND('Mapa final'!$AD$47="Alta",'Mapa final'!$AF$47="Catastrófico"),CONCATENATE("R6C",'Mapa final'!$T$47),"")</f>
        <v/>
      </c>
      <c r="AN21" s="69"/>
      <c r="AO21" s="501"/>
      <c r="AP21" s="502"/>
      <c r="AQ21" s="502"/>
      <c r="AR21" s="502"/>
      <c r="AS21" s="502"/>
      <c r="AT21" s="503"/>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450"/>
      <c r="C22" s="450"/>
      <c r="D22" s="451"/>
      <c r="E22" s="491"/>
      <c r="F22" s="492"/>
      <c r="G22" s="492"/>
      <c r="H22" s="492"/>
      <c r="I22" s="492"/>
      <c r="J22" s="53" t="str">
        <f>IF(AND('Mapa final'!$AD$48="Alta",'Mapa final'!$AF$48="Leve"),CONCATENATE("R7C",'Mapa final'!$T$48),"")</f>
        <v/>
      </c>
      <c r="K22" s="54" t="str">
        <f>IF(AND('Mapa final'!$AD$49="Alta",'Mapa final'!$AF$49="Leve"),CONCATENATE("R7C",'Mapa final'!$T$49),"")</f>
        <v/>
      </c>
      <c r="L22" s="54" t="str">
        <f>IF(AND('Mapa final'!$AD$50="Alta",'Mapa final'!$AF$50="Leve"),CONCATENATE("R7C",'Mapa final'!$T$50),"")</f>
        <v/>
      </c>
      <c r="M22" s="54" t="str">
        <f>IF(AND('Mapa final'!$AD$51="Alta",'Mapa final'!$AF$51="Leve"),CONCATENATE("R7C",'Mapa final'!$T$51),"")</f>
        <v/>
      </c>
      <c r="N22" s="54" t="str">
        <f>IF(AND('Mapa final'!$AD$52="Alta",'Mapa final'!$AF$52="Leve"),CONCATENATE("R7C",'Mapa final'!$T$52),"")</f>
        <v/>
      </c>
      <c r="O22" s="55" t="str">
        <f>IF(AND('Mapa final'!$AD$53="Alta",'Mapa final'!$AF$53="Leve"),CONCATENATE("R7C",'Mapa final'!$T$53),"")</f>
        <v/>
      </c>
      <c r="P22" s="53" t="str">
        <f>IF(AND('Mapa final'!$AD$48="Alta",'Mapa final'!$AF$48="Menor"),CONCATENATE("R7C",'Mapa final'!$T$48),"")</f>
        <v/>
      </c>
      <c r="Q22" s="54" t="str">
        <f>IF(AND('Mapa final'!$AD$49="Alta",'Mapa final'!$AF$49="Menor"),CONCATENATE("R7C",'Mapa final'!$T$49),"")</f>
        <v/>
      </c>
      <c r="R22" s="54" t="str">
        <f>IF(AND('Mapa final'!$AD$50="Alta",'Mapa final'!$AF$50="Menor"),CONCATENATE("R7C",'Mapa final'!$T$50),"")</f>
        <v/>
      </c>
      <c r="S22" s="54" t="str">
        <f>IF(AND('Mapa final'!$AD$51="Alta",'Mapa final'!$AF$51="Menor"),CONCATENATE("R7C",'Mapa final'!$T$51),"")</f>
        <v/>
      </c>
      <c r="T22" s="54" t="str">
        <f>IF(AND('Mapa final'!$AD$52="Alta",'Mapa final'!$AF$52="Menor"),CONCATENATE("R7C",'Mapa final'!$T$52),"")</f>
        <v/>
      </c>
      <c r="U22" s="55" t="str">
        <f>IF(AND('Mapa final'!$AD$53="Alta",'Mapa final'!$AF$53="Menor"),CONCATENATE("R7C",'Mapa final'!$T$53),"")</f>
        <v/>
      </c>
      <c r="V22" s="38" t="str">
        <f>IF(AND('Mapa final'!$AD$48="Alta",'Mapa final'!$AF$48="Moderado"),CONCATENATE("R7C",'Mapa final'!$T$48),"")</f>
        <v/>
      </c>
      <c r="W22" s="39" t="str">
        <f>IF(AND('Mapa final'!$AD$49="Alta",'Mapa final'!$AF$49="Moderado"),CONCATENATE("R7C",'Mapa final'!$T$49),"")</f>
        <v/>
      </c>
      <c r="X22" s="39" t="str">
        <f>IF(AND('Mapa final'!$AD$50="Alta",'Mapa final'!$AF$50="Moderado"),CONCATENATE("R7C",'Mapa final'!$T$50),"")</f>
        <v/>
      </c>
      <c r="Y22" s="39" t="str">
        <f>IF(AND('Mapa final'!$AD$51="Alta",'Mapa final'!$AF$51="Moderado"),CONCATENATE("R7C",'Mapa final'!$T$51),"")</f>
        <v/>
      </c>
      <c r="Z22" s="39" t="str">
        <f>IF(AND('Mapa final'!$AD$52="Alta",'Mapa final'!$AF$52="Moderado"),CONCATENATE("R7C",'Mapa final'!$T$52),"")</f>
        <v/>
      </c>
      <c r="AA22" s="40" t="str">
        <f>IF(AND('Mapa final'!$AD$53="Alta",'Mapa final'!$AF$53="Moderado"),CONCATENATE("R7C",'Mapa final'!$T$53),"")</f>
        <v/>
      </c>
      <c r="AB22" s="38" t="str">
        <f>IF(AND('Mapa final'!$AD$48="Alta",'Mapa final'!$AF$48="Mayor"),CONCATENATE("R7C",'Mapa final'!$T$48),"")</f>
        <v/>
      </c>
      <c r="AC22" s="39" t="str">
        <f>IF(AND('Mapa final'!$AD$49="Alta",'Mapa final'!$AF$49="Mayor"),CONCATENATE("R7C",'Mapa final'!$T$49),"")</f>
        <v/>
      </c>
      <c r="AD22" s="39" t="str">
        <f>IF(AND('Mapa final'!$AD$50="Alta",'Mapa final'!$AF$50="Mayor"),CONCATENATE("R7C",'Mapa final'!$T$50),"")</f>
        <v/>
      </c>
      <c r="AE22" s="39" t="str">
        <f>IF(AND('Mapa final'!$AD$51="Alta",'Mapa final'!$AF$51="Mayor"),CONCATENATE("R7C",'Mapa final'!$T$51),"")</f>
        <v/>
      </c>
      <c r="AF22" s="39" t="str">
        <f>IF(AND('Mapa final'!$AD$52="Alta",'Mapa final'!$AF$52="Mayor"),CONCATENATE("R7C",'Mapa final'!$T$52),"")</f>
        <v/>
      </c>
      <c r="AG22" s="40" t="str">
        <f>IF(AND('Mapa final'!$AD$53="Alta",'Mapa final'!$AF$53="Mayor"),CONCATENATE("R7C",'Mapa final'!$T$53),"")</f>
        <v/>
      </c>
      <c r="AH22" s="41" t="str">
        <f>IF(AND('Mapa final'!$AD$48="Alta",'Mapa final'!$AF$48="Catastrófico"),CONCATENATE("R7C",'Mapa final'!$T$48),"")</f>
        <v/>
      </c>
      <c r="AI22" s="42" t="str">
        <f>IF(AND('Mapa final'!$AD$49="Alta",'Mapa final'!$AF$49="Catastrófico"),CONCATENATE("R7C",'Mapa final'!$T$49),"")</f>
        <v/>
      </c>
      <c r="AJ22" s="42" t="str">
        <f>IF(AND('Mapa final'!$AD$50="Alta",'Mapa final'!$AF$50="Catastrófico"),CONCATENATE("R7C",'Mapa final'!$T$50),"")</f>
        <v/>
      </c>
      <c r="AK22" s="42" t="str">
        <f>IF(AND('Mapa final'!$AD$51="Alta",'Mapa final'!$AF$51="Catastrófico"),CONCATENATE("R7C",'Mapa final'!$T$51),"")</f>
        <v/>
      </c>
      <c r="AL22" s="42" t="str">
        <f>IF(AND('Mapa final'!$AD$52="Alta",'Mapa final'!$AF$52="Catastrófico"),CONCATENATE("R7C",'Mapa final'!$T$52),"")</f>
        <v/>
      </c>
      <c r="AM22" s="43" t="str">
        <f>IF(AND('Mapa final'!$AD$53="Alta",'Mapa final'!$AF$53="Catastrófico"),CONCATENATE("R7C",'Mapa final'!$T$53),"")</f>
        <v/>
      </c>
      <c r="AN22" s="69"/>
      <c r="AO22" s="501"/>
      <c r="AP22" s="502"/>
      <c r="AQ22" s="502"/>
      <c r="AR22" s="502"/>
      <c r="AS22" s="502"/>
      <c r="AT22" s="503"/>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450"/>
      <c r="C23" s="450"/>
      <c r="D23" s="451"/>
      <c r="E23" s="491"/>
      <c r="F23" s="492"/>
      <c r="G23" s="492"/>
      <c r="H23" s="492"/>
      <c r="I23" s="492"/>
      <c r="J23" s="53" t="str">
        <f>IF(AND('Mapa final'!$AD$54="Alta",'Mapa final'!$AF$54="Leve"),CONCATENATE("R8C",'Mapa final'!$T$54),"")</f>
        <v/>
      </c>
      <c r="K23" s="54" t="str">
        <f>IF(AND('Mapa final'!$AD$55="Alta",'Mapa final'!$AF$55="Leve"),CONCATENATE("R8C",'Mapa final'!$T$55),"")</f>
        <v/>
      </c>
      <c r="L23" s="54" t="str">
        <f>IF(AND('Mapa final'!$AD$56="Alta",'Mapa final'!$AF$56="Leve"),CONCATENATE("R8C",'Mapa final'!$T$56),"")</f>
        <v/>
      </c>
      <c r="M23" s="54" t="str">
        <f>IF(AND('Mapa final'!$AD$57="Alta",'Mapa final'!$AF$57="Leve"),CONCATENATE("R8C",'Mapa final'!$T$57),"")</f>
        <v/>
      </c>
      <c r="N23" s="54" t="str">
        <f>IF(AND('Mapa final'!$AD$58="Alta",'Mapa final'!$AF$58="Leve"),CONCATENATE("R8C",'Mapa final'!$T$58),"")</f>
        <v/>
      </c>
      <c r="O23" s="55" t="str">
        <f>IF(AND('Mapa final'!$AD$59="Alta",'Mapa final'!$AF$59="Leve"),CONCATENATE("R8C",'Mapa final'!$T$59),"")</f>
        <v/>
      </c>
      <c r="P23" s="53" t="str">
        <f>IF(AND('Mapa final'!$AD$54="Alta",'Mapa final'!$AF$54="Menor"),CONCATENATE("R8C",'Mapa final'!$T$54),"")</f>
        <v/>
      </c>
      <c r="Q23" s="54" t="str">
        <f>IF(AND('Mapa final'!$AD$55="Alta",'Mapa final'!$AF$55="Menor"),CONCATENATE("R8C",'Mapa final'!$T$55),"")</f>
        <v/>
      </c>
      <c r="R23" s="54" t="str">
        <f>IF(AND('Mapa final'!$AD$56="Alta",'Mapa final'!$AF$56="Menor"),CONCATENATE("R8C",'Mapa final'!$T$56),"")</f>
        <v/>
      </c>
      <c r="S23" s="54" t="str">
        <f>IF(AND('Mapa final'!$AD$57="Alta",'Mapa final'!$AF$57="Menor"),CONCATENATE("R8C",'Mapa final'!$T$57),"")</f>
        <v/>
      </c>
      <c r="T23" s="54" t="str">
        <f>IF(AND('Mapa final'!$AD$58="Alta",'Mapa final'!$AF$58="Menor"),CONCATENATE("R8C",'Mapa final'!$T$58),"")</f>
        <v/>
      </c>
      <c r="U23" s="55" t="str">
        <f>IF(AND('Mapa final'!$AD$59="Alta",'Mapa final'!$AF$59="Menor"),CONCATENATE("R8C",'Mapa final'!$T$59),"")</f>
        <v/>
      </c>
      <c r="V23" s="38" t="str">
        <f>IF(AND('Mapa final'!$AD$54="Alta",'Mapa final'!$AF$54="Moderado"),CONCATENATE("R8C",'Mapa final'!$T$54),"")</f>
        <v/>
      </c>
      <c r="W23" s="39" t="str">
        <f>IF(AND('Mapa final'!$AD$55="Alta",'Mapa final'!$AF$55="Moderado"),CONCATENATE("R8C",'Mapa final'!$T$55),"")</f>
        <v/>
      </c>
      <c r="X23" s="39" t="str">
        <f>IF(AND('Mapa final'!$AD$56="Alta",'Mapa final'!$AF$56="Moderado"),CONCATENATE("R8C",'Mapa final'!$T$56),"")</f>
        <v/>
      </c>
      <c r="Y23" s="39" t="str">
        <f>IF(AND('Mapa final'!$AD$57="Alta",'Mapa final'!$AF$57="Moderado"),CONCATENATE("R8C",'Mapa final'!$T$57),"")</f>
        <v/>
      </c>
      <c r="Z23" s="39" t="str">
        <f>IF(AND('Mapa final'!$AD$58="Alta",'Mapa final'!$AF$58="Moderado"),CONCATENATE("R8C",'Mapa final'!$T$58),"")</f>
        <v/>
      </c>
      <c r="AA23" s="40" t="str">
        <f>IF(AND('Mapa final'!$AD$59="Alta",'Mapa final'!$AF$59="Moderado"),CONCATENATE("R8C",'Mapa final'!$T$59),"")</f>
        <v/>
      </c>
      <c r="AB23" s="38" t="str">
        <f>IF(AND('Mapa final'!$AD$54="Alta",'Mapa final'!$AF$54="Mayor"),CONCATENATE("R8C",'Mapa final'!$T$54),"")</f>
        <v/>
      </c>
      <c r="AC23" s="39" t="str">
        <f>IF(AND('Mapa final'!$AD$55="Alta",'Mapa final'!$AF$55="Mayor"),CONCATENATE("R8C",'Mapa final'!$T$55),"")</f>
        <v/>
      </c>
      <c r="AD23" s="39" t="str">
        <f>IF(AND('Mapa final'!$AD$56="Alta",'Mapa final'!$AF$56="Mayor"),CONCATENATE("R8C",'Mapa final'!$T$56),"")</f>
        <v/>
      </c>
      <c r="AE23" s="39" t="str">
        <f>IF(AND('Mapa final'!$AD$57="Alta",'Mapa final'!$AF$57="Mayor"),CONCATENATE("R8C",'Mapa final'!$T$57),"")</f>
        <v/>
      </c>
      <c r="AF23" s="39" t="str">
        <f>IF(AND('Mapa final'!$AD$58="Alta",'Mapa final'!$AF$58="Mayor"),CONCATENATE("R8C",'Mapa final'!$T$58),"")</f>
        <v/>
      </c>
      <c r="AG23" s="40" t="str">
        <f>IF(AND('Mapa final'!$AD$59="Alta",'Mapa final'!$AF$59="Mayor"),CONCATENATE("R8C",'Mapa final'!$T$59),"")</f>
        <v/>
      </c>
      <c r="AH23" s="41" t="str">
        <f>IF(AND('Mapa final'!$AD$54="Alta",'Mapa final'!$AF$54="Catastrófico"),CONCATENATE("R8C",'Mapa final'!$T$54),"")</f>
        <v/>
      </c>
      <c r="AI23" s="42" t="str">
        <f>IF(AND('Mapa final'!$AD$55="Alta",'Mapa final'!$AF$55="Catastrófico"),CONCATENATE("R8C",'Mapa final'!$T$55),"")</f>
        <v/>
      </c>
      <c r="AJ23" s="42" t="str">
        <f>IF(AND('Mapa final'!$AD$56="Alta",'Mapa final'!$AF$56="Catastrófico"),CONCATENATE("R8C",'Mapa final'!$T$56),"")</f>
        <v/>
      </c>
      <c r="AK23" s="42" t="str">
        <f>IF(AND('Mapa final'!$AD$57="Alta",'Mapa final'!$AF$57="Catastrófico"),CONCATENATE("R8C",'Mapa final'!$T$57),"")</f>
        <v/>
      </c>
      <c r="AL23" s="42" t="str">
        <f>IF(AND('Mapa final'!$AD$58="Alta",'Mapa final'!$AF$58="Catastrófico"),CONCATENATE("R8C",'Mapa final'!$T$58),"")</f>
        <v/>
      </c>
      <c r="AM23" s="43" t="str">
        <f>IF(AND('Mapa final'!$AD$59="Alta",'Mapa final'!$AF$59="Catastrófico"),CONCATENATE("R8C",'Mapa final'!$T$59),"")</f>
        <v/>
      </c>
      <c r="AN23" s="69"/>
      <c r="AO23" s="501"/>
      <c r="AP23" s="502"/>
      <c r="AQ23" s="502"/>
      <c r="AR23" s="502"/>
      <c r="AS23" s="502"/>
      <c r="AT23" s="503"/>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450"/>
      <c r="C24" s="450"/>
      <c r="D24" s="451"/>
      <c r="E24" s="491"/>
      <c r="F24" s="492"/>
      <c r="G24" s="492"/>
      <c r="H24" s="492"/>
      <c r="I24" s="492"/>
      <c r="J24" s="53" t="str">
        <f>IF(AND('Mapa final'!$AD$60="Alta",'Mapa final'!$AF$60="Leve"),CONCATENATE("R9C",'Mapa final'!$T$60),"")</f>
        <v/>
      </c>
      <c r="K24" s="54" t="str">
        <f>IF(AND('Mapa final'!$AD$61="Alta",'Mapa final'!$AF$61="Leve"),CONCATENATE("R9C",'Mapa final'!$T$61),"")</f>
        <v/>
      </c>
      <c r="L24" s="54" t="str">
        <f>IF(AND('Mapa final'!$AD$62="Alta",'Mapa final'!$AF$62="Leve"),CONCATENATE("R9C",'Mapa final'!$T$62),"")</f>
        <v/>
      </c>
      <c r="M24" s="54" t="str">
        <f>IF(AND('Mapa final'!$AD$63="Alta",'Mapa final'!$AF$63="Leve"),CONCATENATE("R9C",'Mapa final'!$T$63),"")</f>
        <v/>
      </c>
      <c r="N24" s="54" t="str">
        <f>IF(AND('Mapa final'!$AD$64="Alta",'Mapa final'!$AF$64="Leve"),CONCATENATE("R9C",'Mapa final'!$T$64),"")</f>
        <v/>
      </c>
      <c r="O24" s="55" t="str">
        <f>IF(AND('Mapa final'!$AD$65="Alta",'Mapa final'!$AF$65="Leve"),CONCATENATE("R9C",'Mapa final'!$T$65),"")</f>
        <v/>
      </c>
      <c r="P24" s="53" t="str">
        <f>IF(AND('Mapa final'!$AD$60="Alta",'Mapa final'!$AF$60="Menor"),CONCATENATE("R9C",'Mapa final'!$T$60),"")</f>
        <v/>
      </c>
      <c r="Q24" s="54" t="str">
        <f>IF(AND('Mapa final'!$AD$61="Alta",'Mapa final'!$AF$61="Menor"),CONCATENATE("R9C",'Mapa final'!$T$61),"")</f>
        <v/>
      </c>
      <c r="R24" s="54" t="str">
        <f>IF(AND('Mapa final'!$AD$62="Alta",'Mapa final'!$AF$62="Menor"),CONCATENATE("R9C",'Mapa final'!$T$62),"")</f>
        <v/>
      </c>
      <c r="S24" s="54" t="str">
        <f>IF(AND('Mapa final'!$AD$63="Alta",'Mapa final'!$AF$63="Menor"),CONCATENATE("R9C",'Mapa final'!$T$63),"")</f>
        <v/>
      </c>
      <c r="T24" s="54" t="str">
        <f>IF(AND('Mapa final'!$AD$64="Alta",'Mapa final'!$AF$64="Menor"),CONCATENATE("R9C",'Mapa final'!$T$64),"")</f>
        <v/>
      </c>
      <c r="U24" s="55" t="str">
        <f>IF(AND('Mapa final'!$AD$65="Alta",'Mapa final'!$AF$65="Menor"),CONCATENATE("R9C",'Mapa final'!$T$65),"")</f>
        <v/>
      </c>
      <c r="V24" s="38" t="str">
        <f>IF(AND('Mapa final'!$AD$60="Alta",'Mapa final'!$AF$60="Moderado"),CONCATENATE("R9C",'Mapa final'!$T$60),"")</f>
        <v/>
      </c>
      <c r="W24" s="39" t="str">
        <f>IF(AND('Mapa final'!$AD$61="Alta",'Mapa final'!$AF$61="Moderado"),CONCATENATE("R9C",'Mapa final'!$T$61),"")</f>
        <v/>
      </c>
      <c r="X24" s="39" t="str">
        <f>IF(AND('Mapa final'!$AD$62="Alta",'Mapa final'!$AF$62="Moderado"),CONCATENATE("R9C",'Mapa final'!$T$62),"")</f>
        <v/>
      </c>
      <c r="Y24" s="39" t="str">
        <f>IF(AND('Mapa final'!$AD$63="Alta",'Mapa final'!$AF$63="Moderado"),CONCATENATE("R9C",'Mapa final'!$T$63),"")</f>
        <v/>
      </c>
      <c r="Z24" s="39" t="str">
        <f>IF(AND('Mapa final'!$AD$64="Alta",'Mapa final'!$AF$64="Moderado"),CONCATENATE("R9C",'Mapa final'!$T$64),"")</f>
        <v/>
      </c>
      <c r="AA24" s="40" t="str">
        <f>IF(AND('Mapa final'!$AD$65="Alta",'Mapa final'!$AF$65="Moderado"),CONCATENATE("R9C",'Mapa final'!$T$65),"")</f>
        <v/>
      </c>
      <c r="AB24" s="38" t="str">
        <f>IF(AND('Mapa final'!$AD$60="Alta",'Mapa final'!$AF$60="Mayor"),CONCATENATE("R9C",'Mapa final'!$T$60),"")</f>
        <v/>
      </c>
      <c r="AC24" s="39" t="str">
        <f>IF(AND('Mapa final'!$AD$61="Alta",'Mapa final'!$AF$61="Mayor"),CONCATENATE("R9C",'Mapa final'!$T$61),"")</f>
        <v/>
      </c>
      <c r="AD24" s="39" t="str">
        <f>IF(AND('Mapa final'!$AD$62="Alta",'Mapa final'!$AF$62="Mayor"),CONCATENATE("R9C",'Mapa final'!$T$62),"")</f>
        <v/>
      </c>
      <c r="AE24" s="39" t="str">
        <f>IF(AND('Mapa final'!$AD$63="Alta",'Mapa final'!$AF$63="Mayor"),CONCATENATE("R9C",'Mapa final'!$T$63),"")</f>
        <v/>
      </c>
      <c r="AF24" s="39" t="str">
        <f>IF(AND('Mapa final'!$AD$64="Alta",'Mapa final'!$AF$64="Mayor"),CONCATENATE("R9C",'Mapa final'!$T$64),"")</f>
        <v/>
      </c>
      <c r="AG24" s="40" t="str">
        <f>IF(AND('Mapa final'!$AD$65="Alta",'Mapa final'!$AF$65="Mayor"),CONCATENATE("R9C",'Mapa final'!$T$65),"")</f>
        <v/>
      </c>
      <c r="AH24" s="41" t="str">
        <f>IF(AND('Mapa final'!$AD$60="Alta",'Mapa final'!$AF$60="Catastrófico"),CONCATENATE("R9C",'Mapa final'!$T$60),"")</f>
        <v/>
      </c>
      <c r="AI24" s="42" t="str">
        <f>IF(AND('Mapa final'!$AD$61="Alta",'Mapa final'!$AF$61="Catastrófico"),CONCATENATE("R9C",'Mapa final'!$T$61),"")</f>
        <v/>
      </c>
      <c r="AJ24" s="42" t="str">
        <f>IF(AND('Mapa final'!$AD$62="Alta",'Mapa final'!$AF$62="Catastrófico"),CONCATENATE("R9C",'Mapa final'!$T$62),"")</f>
        <v/>
      </c>
      <c r="AK24" s="42" t="str">
        <f>IF(AND('Mapa final'!$AD$63="Alta",'Mapa final'!$AF$63="Catastrófico"),CONCATENATE("R9C",'Mapa final'!$T$63),"")</f>
        <v/>
      </c>
      <c r="AL24" s="42" t="str">
        <f>IF(AND('Mapa final'!$AD$64="Alta",'Mapa final'!$AF$64="Catastrófico"),CONCATENATE("R9C",'Mapa final'!$T$64),"")</f>
        <v/>
      </c>
      <c r="AM24" s="43" t="str">
        <f>IF(AND('Mapa final'!$AD$65="Alta",'Mapa final'!$AF$65="Catastrófico"),CONCATENATE("R9C",'Mapa final'!$T$65),"")</f>
        <v/>
      </c>
      <c r="AN24" s="69"/>
      <c r="AO24" s="501"/>
      <c r="AP24" s="502"/>
      <c r="AQ24" s="502"/>
      <c r="AR24" s="502"/>
      <c r="AS24" s="502"/>
      <c r="AT24" s="503"/>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450"/>
      <c r="C25" s="450"/>
      <c r="D25" s="451"/>
      <c r="E25" s="494"/>
      <c r="F25" s="495"/>
      <c r="G25" s="495"/>
      <c r="H25" s="495"/>
      <c r="I25" s="495"/>
      <c r="J25" s="56" t="str">
        <f>IF(AND('Mapa final'!$AD$66="Alta",'Mapa final'!$AF$66="Leve"),CONCATENATE("R10C",'Mapa final'!$T$66),"")</f>
        <v/>
      </c>
      <c r="K25" s="57" t="str">
        <f>IF(AND('Mapa final'!$AD$67="Alta",'Mapa final'!$AF$67="Leve"),CONCATENATE("R10C",'Mapa final'!$T$67),"")</f>
        <v/>
      </c>
      <c r="L25" s="57" t="str">
        <f>IF(AND('Mapa final'!$AD$68="Alta",'Mapa final'!$AF$68="Leve"),CONCATENATE("R10C",'Mapa final'!$T$68),"")</f>
        <v/>
      </c>
      <c r="M25" s="57" t="str">
        <f>IF(AND('Mapa final'!$AD$69="Alta",'Mapa final'!$AF$69="Leve"),CONCATENATE("R10C",'Mapa final'!$T$69),"")</f>
        <v/>
      </c>
      <c r="N25" s="57" t="str">
        <f>IF(AND('Mapa final'!$AD$70="Alta",'Mapa final'!$AF$70="Leve"),CONCATENATE("R10C",'Mapa final'!$T$70),"")</f>
        <v/>
      </c>
      <c r="O25" s="58" t="str">
        <f>IF(AND('Mapa final'!$AD$71="Alta",'Mapa final'!$AF$71="Leve"),CONCATENATE("R10C",'Mapa final'!$T$71),"")</f>
        <v/>
      </c>
      <c r="P25" s="56" t="str">
        <f>IF(AND('Mapa final'!$AD$66="Alta",'Mapa final'!$AF$66="Menor"),CONCATENATE("R10C",'Mapa final'!$T$66),"")</f>
        <v/>
      </c>
      <c r="Q25" s="57" t="str">
        <f>IF(AND('Mapa final'!$AD$67="Alta",'Mapa final'!$AF$67="Menor"),CONCATENATE("R10C",'Mapa final'!$T$67),"")</f>
        <v/>
      </c>
      <c r="R25" s="57" t="str">
        <f>IF(AND('Mapa final'!$AD$68="Alta",'Mapa final'!$AF$68="Menor"),CONCATENATE("R10C",'Mapa final'!$T$68),"")</f>
        <v/>
      </c>
      <c r="S25" s="57" t="str">
        <f>IF(AND('Mapa final'!$AD$69="Alta",'Mapa final'!$AF$69="Menor"),CONCATENATE("R10C",'Mapa final'!$T$69),"")</f>
        <v/>
      </c>
      <c r="T25" s="57" t="str">
        <f>IF(AND('Mapa final'!$AD$70="Alta",'Mapa final'!$AF$70="Menor"),CONCATENATE("R10C",'Mapa final'!$T$70),"")</f>
        <v/>
      </c>
      <c r="U25" s="58" t="str">
        <f>IF(AND('Mapa final'!$AD$71="Alta",'Mapa final'!$AF$71="Menor"),CONCATENATE("R10C",'Mapa final'!$T$71),"")</f>
        <v/>
      </c>
      <c r="V25" s="44" t="str">
        <f>IF(AND('Mapa final'!$AD$66="Alta",'Mapa final'!$AF$66="Moderado"),CONCATENATE("R10C",'Mapa final'!$T$66),"")</f>
        <v/>
      </c>
      <c r="W25" s="45" t="str">
        <f>IF(AND('Mapa final'!$AD$67="Alta",'Mapa final'!$AF$67="Moderado"),CONCATENATE("R10C",'Mapa final'!$T$67),"")</f>
        <v/>
      </c>
      <c r="X25" s="45" t="str">
        <f>IF(AND('Mapa final'!$AD$68="Alta",'Mapa final'!$AF$68="Moderado"),CONCATENATE("R10C",'Mapa final'!$T$68),"")</f>
        <v/>
      </c>
      <c r="Y25" s="45" t="str">
        <f>IF(AND('Mapa final'!$AD$69="Alta",'Mapa final'!$AF$69="Moderado"),CONCATENATE("R10C",'Mapa final'!$T$69),"")</f>
        <v/>
      </c>
      <c r="Z25" s="45" t="str">
        <f>IF(AND('Mapa final'!$AD$70="Alta",'Mapa final'!$AF$70="Moderado"),CONCATENATE("R10C",'Mapa final'!$T$70),"")</f>
        <v/>
      </c>
      <c r="AA25" s="46" t="str">
        <f>IF(AND('Mapa final'!$AD$71="Alta",'Mapa final'!$AF$71="Moderado"),CONCATENATE("R10C",'Mapa final'!$T$71),"")</f>
        <v/>
      </c>
      <c r="AB25" s="44" t="str">
        <f>IF(AND('Mapa final'!$AD$66="Alta",'Mapa final'!$AF$66="Mayor"),CONCATENATE("R10C",'Mapa final'!$T$66),"")</f>
        <v/>
      </c>
      <c r="AC25" s="45" t="str">
        <f>IF(AND('Mapa final'!$AD$67="Alta",'Mapa final'!$AF$67="Mayor"),CONCATENATE("R10C",'Mapa final'!$T$67),"")</f>
        <v/>
      </c>
      <c r="AD25" s="45" t="str">
        <f>IF(AND('Mapa final'!$AD$68="Alta",'Mapa final'!$AF$68="Mayor"),CONCATENATE("R10C",'Mapa final'!$T$68),"")</f>
        <v/>
      </c>
      <c r="AE25" s="45" t="str">
        <f>IF(AND('Mapa final'!$AD$69="Alta",'Mapa final'!$AF$69="Mayor"),CONCATENATE("R10C",'Mapa final'!$T$69),"")</f>
        <v/>
      </c>
      <c r="AF25" s="45" t="str">
        <f>IF(AND('Mapa final'!$AD$70="Alta",'Mapa final'!$AF$70="Mayor"),CONCATENATE("R10C",'Mapa final'!$T$70),"")</f>
        <v/>
      </c>
      <c r="AG25" s="46" t="str">
        <f>IF(AND('Mapa final'!$AD$71="Alta",'Mapa final'!$AF$71="Mayor"),CONCATENATE("R10C",'Mapa final'!$T$71),"")</f>
        <v/>
      </c>
      <c r="AH25" s="47" t="str">
        <f>IF(AND('Mapa final'!$AD$66="Alta",'Mapa final'!$AF$66="Catastrófico"),CONCATENATE("R10C",'Mapa final'!$T$66),"")</f>
        <v/>
      </c>
      <c r="AI25" s="48" t="str">
        <f>IF(AND('Mapa final'!$AD$67="Alta",'Mapa final'!$AF$67="Catastrófico"),CONCATENATE("R10C",'Mapa final'!$T$67),"")</f>
        <v/>
      </c>
      <c r="AJ25" s="48" t="str">
        <f>IF(AND('Mapa final'!$AD$68="Alta",'Mapa final'!$AF$68="Catastrófico"),CONCATENATE("R10C",'Mapa final'!$T$68),"")</f>
        <v/>
      </c>
      <c r="AK25" s="48" t="str">
        <f>IF(AND('Mapa final'!$AD$69="Alta",'Mapa final'!$AF$69="Catastrófico"),CONCATENATE("R10C",'Mapa final'!$T$69),"")</f>
        <v/>
      </c>
      <c r="AL25" s="48" t="str">
        <f>IF(AND('Mapa final'!$AD$70="Alta",'Mapa final'!$AF$70="Catastrófico"),CONCATENATE("R10C",'Mapa final'!$T$70),"")</f>
        <v/>
      </c>
      <c r="AM25" s="49" t="str">
        <f>IF(AND('Mapa final'!$AD$71="Alta",'Mapa final'!$AF$71="Catastrófico"),CONCATENATE("R10C",'Mapa final'!$T$71),"")</f>
        <v/>
      </c>
      <c r="AN25" s="69"/>
      <c r="AO25" s="504"/>
      <c r="AP25" s="505"/>
      <c r="AQ25" s="505"/>
      <c r="AR25" s="505"/>
      <c r="AS25" s="505"/>
      <c r="AT25" s="506"/>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450"/>
      <c r="C26" s="450"/>
      <c r="D26" s="451"/>
      <c r="E26" s="488" t="s">
        <v>117</v>
      </c>
      <c r="F26" s="489"/>
      <c r="G26" s="489"/>
      <c r="H26" s="489"/>
      <c r="I26" s="490"/>
      <c r="J26" s="50" t="str">
        <f>IF(AND('Mapa final'!$AD$12="Media",'Mapa final'!$AF$12="Leve"),CONCATENATE("R1C",'Mapa final'!$T$12),"")</f>
        <v/>
      </c>
      <c r="K26" s="51" t="str">
        <f>IF(AND('Mapa final'!$AD$13="Media",'Mapa final'!$AF$13="Leve"),CONCATENATE("R1C",'Mapa final'!$T$13),"")</f>
        <v/>
      </c>
      <c r="L26" s="51" t="str">
        <f>IF(AND('Mapa final'!$AD$14="Media",'Mapa final'!$AF$14="Leve"),CONCATENATE("R1C",'Mapa final'!$T$14),"")</f>
        <v/>
      </c>
      <c r="M26" s="51" t="str">
        <f>IF(AND('Mapa final'!$AD$15="Media",'Mapa final'!$AF$15="Leve"),CONCATENATE("R1C",'Mapa final'!$T$15),"")</f>
        <v/>
      </c>
      <c r="N26" s="51" t="str">
        <f>IF(AND('Mapa final'!$AD$16="Media",'Mapa final'!$AF$16="Leve"),CONCATENATE("R1C",'Mapa final'!$T$16),"")</f>
        <v/>
      </c>
      <c r="O26" s="52" t="str">
        <f>IF(AND('Mapa final'!$AD$17="Media",'Mapa final'!$AF$17="Leve"),CONCATENATE("R1C",'Mapa final'!$T$17),"")</f>
        <v/>
      </c>
      <c r="P26" s="50" t="str">
        <f>IF(AND('Mapa final'!$AD$12="Media",'Mapa final'!$AF$12="Menor"),CONCATENATE("R1C",'Mapa final'!$T$12),"")</f>
        <v/>
      </c>
      <c r="Q26" s="51" t="str">
        <f>IF(AND('Mapa final'!$AD$13="Media",'Mapa final'!$AF$13="Menor"),CONCATENATE("R1C",'Mapa final'!$T$13),"")</f>
        <v/>
      </c>
      <c r="R26" s="51" t="str">
        <f>IF(AND('Mapa final'!$AD$14="Media",'Mapa final'!$AF$14="Menor"),CONCATENATE("R1C",'Mapa final'!$T$14),"")</f>
        <v/>
      </c>
      <c r="S26" s="51" t="str">
        <f>IF(AND('Mapa final'!$AD$15="Media",'Mapa final'!$AF$15="Menor"),CONCATENATE("R1C",'Mapa final'!$T$15),"")</f>
        <v/>
      </c>
      <c r="T26" s="51" t="str">
        <f>IF(AND('Mapa final'!$AD$16="Media",'Mapa final'!$AF$16="Menor"),CONCATENATE("R1C",'Mapa final'!$T$16),"")</f>
        <v/>
      </c>
      <c r="U26" s="52" t="str">
        <f>IF(AND('Mapa final'!$AD$17="Media",'Mapa final'!$AF$17="Menor"),CONCATENATE("R1C",'Mapa final'!$T$17),"")</f>
        <v/>
      </c>
      <c r="V26" s="50" t="str">
        <f>IF(AND('Mapa final'!$AD$12="Media",'Mapa final'!$AF$12="Moderado"),CONCATENATE("R1C",'Mapa final'!$T$12),"")</f>
        <v/>
      </c>
      <c r="W26" s="51" t="str">
        <f>IF(AND('Mapa final'!$AD$13="Media",'Mapa final'!$AF$13="Moderado"),CONCATENATE("R1C",'Mapa final'!$T$13),"")</f>
        <v/>
      </c>
      <c r="X26" s="51" t="str">
        <f>IF(AND('Mapa final'!$AD$14="Media",'Mapa final'!$AF$14="Moderado"),CONCATENATE("R1C",'Mapa final'!$T$14),"")</f>
        <v/>
      </c>
      <c r="Y26" s="51" t="str">
        <f>IF(AND('Mapa final'!$AD$15="Media",'Mapa final'!$AF$15="Moderado"),CONCATENATE("R1C",'Mapa final'!$T$15),"")</f>
        <v/>
      </c>
      <c r="Z26" s="51" t="str">
        <f>IF(AND('Mapa final'!$AD$16="Media",'Mapa final'!$AF$16="Moderado"),CONCATENATE("R1C",'Mapa final'!$T$16),"")</f>
        <v/>
      </c>
      <c r="AA26" s="52" t="str">
        <f>IF(AND('Mapa final'!$AD$17="Media",'Mapa final'!$AF$17="Moderado"),CONCATENATE("R1C",'Mapa final'!$T$17),"")</f>
        <v/>
      </c>
      <c r="AB26" s="32" t="str">
        <f>IF(AND('Mapa final'!$AD$12="Media",'Mapa final'!$AF$12="Mayor"),CONCATENATE("R1C",'Mapa final'!$T$12),"")</f>
        <v/>
      </c>
      <c r="AC26" s="33" t="str">
        <f>IF(AND('Mapa final'!$AD$13="Media",'Mapa final'!$AF$13="Mayor"),CONCATENATE("R1C",'Mapa final'!$T$13),"")</f>
        <v/>
      </c>
      <c r="AD26" s="33" t="str">
        <f>IF(AND('Mapa final'!$AD$14="Media",'Mapa final'!$AF$14="Mayor"),CONCATENATE("R1C",'Mapa final'!$T$14),"")</f>
        <v/>
      </c>
      <c r="AE26" s="33" t="str">
        <f>IF(AND('Mapa final'!$AD$15="Media",'Mapa final'!$AF$15="Mayor"),CONCATENATE("R1C",'Mapa final'!$T$15),"")</f>
        <v/>
      </c>
      <c r="AF26" s="33" t="str">
        <f>IF(AND('Mapa final'!$AD$16="Media",'Mapa final'!$AF$16="Mayor"),CONCATENATE("R1C",'Mapa final'!$T$16),"")</f>
        <v/>
      </c>
      <c r="AG26" s="34" t="str">
        <f>IF(AND('Mapa final'!$AD$17="Media",'Mapa final'!$AF$17="Mayor"),CONCATENATE("R1C",'Mapa final'!$T$17),"")</f>
        <v/>
      </c>
      <c r="AH26" s="35" t="str">
        <f>IF(AND('Mapa final'!$AD$12="Media",'Mapa final'!$AF$12="Catastrófico"),CONCATENATE("R1C",'Mapa final'!$T$12),"")</f>
        <v/>
      </c>
      <c r="AI26" s="36" t="str">
        <f>IF(AND('Mapa final'!$AD$13="Media",'Mapa final'!$AF$13="Catastrófico"),CONCATENATE("R1C",'Mapa final'!$T$13),"")</f>
        <v/>
      </c>
      <c r="AJ26" s="36" t="str">
        <f>IF(AND('Mapa final'!$AD$14="Media",'Mapa final'!$AF$14="Catastrófico"),CONCATENATE("R1C",'Mapa final'!$T$14),"")</f>
        <v/>
      </c>
      <c r="AK26" s="36" t="str">
        <f>IF(AND('Mapa final'!$AD$15="Media",'Mapa final'!$AF$15="Catastrófico"),CONCATENATE("R1C",'Mapa final'!$T$15),"")</f>
        <v/>
      </c>
      <c r="AL26" s="36" t="str">
        <f>IF(AND('Mapa final'!$AD$16="Media",'Mapa final'!$AF$16="Catastrófico"),CONCATENATE("R1C",'Mapa final'!$T$16),"")</f>
        <v/>
      </c>
      <c r="AM26" s="37" t="str">
        <f>IF(AND('Mapa final'!$AD$17="Media",'Mapa final'!$AF$17="Catastrófico"),CONCATENATE("R1C",'Mapa final'!$T$17),"")</f>
        <v/>
      </c>
      <c r="AN26" s="69"/>
      <c r="AO26" s="528" t="s">
        <v>81</v>
      </c>
      <c r="AP26" s="529"/>
      <c r="AQ26" s="529"/>
      <c r="AR26" s="529"/>
      <c r="AS26" s="529"/>
      <c r="AT26" s="530"/>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450"/>
      <c r="C27" s="450"/>
      <c r="D27" s="451"/>
      <c r="E27" s="507"/>
      <c r="F27" s="492"/>
      <c r="G27" s="492"/>
      <c r="H27" s="492"/>
      <c r="I27" s="493"/>
      <c r="J27" s="53" t="str">
        <f>IF(AND('Mapa final'!$AD$18="Media",'Mapa final'!$AF$18="Leve"),CONCATENATE("R2C",'Mapa final'!$T$18),"")</f>
        <v/>
      </c>
      <c r="K27" s="54" t="str">
        <f>IF(AND('Mapa final'!$AD$19="Media",'Mapa final'!$AF$19="Leve"),CONCATENATE("R2C",'Mapa final'!$T$19),"")</f>
        <v/>
      </c>
      <c r="L27" s="54" t="str">
        <f>IF(AND('Mapa final'!$AD$20="Media",'Mapa final'!$AF$20="Leve"),CONCATENATE("R2C",'Mapa final'!$T$20),"")</f>
        <v/>
      </c>
      <c r="M27" s="54" t="str">
        <f>IF(AND('Mapa final'!$AD$21="Media",'Mapa final'!$AF$21="Leve"),CONCATENATE("R2C",'Mapa final'!$T$21),"")</f>
        <v/>
      </c>
      <c r="N27" s="54" t="str">
        <f>IF(AND('Mapa final'!$AD$22="Media",'Mapa final'!$AF$22="Leve"),CONCATENATE("R2C",'Mapa final'!$T$22),"")</f>
        <v/>
      </c>
      <c r="O27" s="55" t="str">
        <f>IF(AND('Mapa final'!$AD$23="Media",'Mapa final'!$AF$23="Leve"),CONCATENATE("R2C",'Mapa final'!$T$23),"")</f>
        <v/>
      </c>
      <c r="P27" s="53" t="str">
        <f>IF(AND('Mapa final'!$AD$18="Media",'Mapa final'!$AF$18="Menor"),CONCATENATE("R2C",'Mapa final'!$T$18),"")</f>
        <v/>
      </c>
      <c r="Q27" s="54" t="str">
        <f>IF(AND('Mapa final'!$AD$19="Media",'Mapa final'!$AF$19="Menor"),CONCATENATE("R2C",'Mapa final'!$T$19),"")</f>
        <v/>
      </c>
      <c r="R27" s="54" t="str">
        <f>IF(AND('Mapa final'!$AD$20="Media",'Mapa final'!$AF$20="Menor"),CONCATENATE("R2C",'Mapa final'!$T$20),"")</f>
        <v/>
      </c>
      <c r="S27" s="54" t="str">
        <f>IF(AND('Mapa final'!$AD$21="Media",'Mapa final'!$AF$21="Menor"),CONCATENATE("R2C",'Mapa final'!$T$21),"")</f>
        <v/>
      </c>
      <c r="T27" s="54" t="str">
        <f>IF(AND('Mapa final'!$AD$22="Media",'Mapa final'!$AF$22="Menor"),CONCATENATE("R2C",'Mapa final'!$T$22),"")</f>
        <v/>
      </c>
      <c r="U27" s="55" t="str">
        <f>IF(AND('Mapa final'!$AD$23="Media",'Mapa final'!$AF$23="Menor"),CONCATENATE("R2C",'Mapa final'!$T$23),"")</f>
        <v/>
      </c>
      <c r="V27" s="53" t="str">
        <f>IF(AND('Mapa final'!$AD$18="Media",'Mapa final'!$AF$18="Moderado"),CONCATENATE("R2C",'Mapa final'!$T$18),"")</f>
        <v/>
      </c>
      <c r="W27" s="54" t="str">
        <f>IF(AND('Mapa final'!$AD$19="Media",'Mapa final'!$AF$19="Moderado"),CONCATENATE("R2C",'Mapa final'!$T$19),"")</f>
        <v/>
      </c>
      <c r="X27" s="54" t="str">
        <f>IF(AND('Mapa final'!$AD$20="Media",'Mapa final'!$AF$20="Moderado"),CONCATENATE("R2C",'Mapa final'!$T$20),"")</f>
        <v/>
      </c>
      <c r="Y27" s="54" t="str">
        <f>IF(AND('Mapa final'!$AD$21="Media",'Mapa final'!$AF$21="Moderado"),CONCATENATE("R2C",'Mapa final'!$T$21),"")</f>
        <v/>
      </c>
      <c r="Z27" s="54" t="str">
        <f>IF(AND('Mapa final'!$AD$22="Media",'Mapa final'!$AF$22="Moderado"),CONCATENATE("R2C",'Mapa final'!$T$22),"")</f>
        <v/>
      </c>
      <c r="AA27" s="55" t="str">
        <f>IF(AND('Mapa final'!$AD$23="Media",'Mapa final'!$AF$23="Moderado"),CONCATENATE("R2C",'Mapa final'!$T$23),"")</f>
        <v/>
      </c>
      <c r="AB27" s="38" t="str">
        <f>IF(AND('Mapa final'!$AD$18="Media",'Mapa final'!$AF$18="Mayor"),CONCATENATE("R2C",'Mapa final'!$T$18),"")</f>
        <v/>
      </c>
      <c r="AC27" s="39" t="str">
        <f>IF(AND('Mapa final'!$AD$19="Media",'Mapa final'!$AF$19="Mayor"),CONCATENATE("R2C",'Mapa final'!$T$19),"")</f>
        <v/>
      </c>
      <c r="AD27" s="39" t="str">
        <f>IF(AND('Mapa final'!$AD$20="Media",'Mapa final'!$AF$20="Mayor"),CONCATENATE("R2C",'Mapa final'!$T$20),"")</f>
        <v/>
      </c>
      <c r="AE27" s="39" t="str">
        <f>IF(AND('Mapa final'!$AD$21="Media",'Mapa final'!$AF$21="Mayor"),CONCATENATE("R2C",'Mapa final'!$T$21),"")</f>
        <v/>
      </c>
      <c r="AF27" s="39" t="str">
        <f>IF(AND('Mapa final'!$AD$22="Media",'Mapa final'!$AF$22="Mayor"),CONCATENATE("R2C",'Mapa final'!$T$22),"")</f>
        <v/>
      </c>
      <c r="AG27" s="40" t="str">
        <f>IF(AND('Mapa final'!$AD$23="Media",'Mapa final'!$AF$23="Mayor"),CONCATENATE("R2C",'Mapa final'!$T$23),"")</f>
        <v/>
      </c>
      <c r="AH27" s="41" t="str">
        <f>IF(AND('Mapa final'!$AD$18="Media",'Mapa final'!$AF$18="Catastrófico"),CONCATENATE("R2C",'Mapa final'!$T$18),"")</f>
        <v/>
      </c>
      <c r="AI27" s="42" t="str">
        <f>IF(AND('Mapa final'!$AD$19="Media",'Mapa final'!$AF$19="Catastrófico"),CONCATENATE("R2C",'Mapa final'!$T$19),"")</f>
        <v/>
      </c>
      <c r="AJ27" s="42" t="str">
        <f>IF(AND('Mapa final'!$AD$20="Media",'Mapa final'!$AF$20="Catastrófico"),CONCATENATE("R2C",'Mapa final'!$T$20),"")</f>
        <v/>
      </c>
      <c r="AK27" s="42" t="str">
        <f>IF(AND('Mapa final'!$AD$21="Media",'Mapa final'!$AF$21="Catastrófico"),CONCATENATE("R2C",'Mapa final'!$T$21),"")</f>
        <v/>
      </c>
      <c r="AL27" s="42" t="str">
        <f>IF(AND('Mapa final'!$AD$22="Media",'Mapa final'!$AF$22="Catastrófico"),CONCATENATE("R2C",'Mapa final'!$T$22),"")</f>
        <v/>
      </c>
      <c r="AM27" s="43" t="str">
        <f>IF(AND('Mapa final'!$AD$23="Media",'Mapa final'!$AF$23="Catastrófico"),CONCATENATE("R2C",'Mapa final'!$T$23),"")</f>
        <v/>
      </c>
      <c r="AN27" s="69"/>
      <c r="AO27" s="531"/>
      <c r="AP27" s="532"/>
      <c r="AQ27" s="532"/>
      <c r="AR27" s="532"/>
      <c r="AS27" s="532"/>
      <c r="AT27" s="533"/>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450"/>
      <c r="C28" s="450"/>
      <c r="D28" s="451"/>
      <c r="E28" s="491"/>
      <c r="F28" s="492"/>
      <c r="G28" s="492"/>
      <c r="H28" s="492"/>
      <c r="I28" s="493"/>
      <c r="J28" s="53" t="str">
        <f>IF(AND('Mapa final'!$AD$24="Media",'Mapa final'!$AF$24="Leve"),CONCATENATE("R3C",'Mapa final'!$T$24),"")</f>
        <v/>
      </c>
      <c r="K28" s="54" t="str">
        <f>IF(AND('Mapa final'!$AD$25="Media",'Mapa final'!$AF$25="Leve"),CONCATENATE("R3C",'Mapa final'!$T$25),"")</f>
        <v/>
      </c>
      <c r="L28" s="54" t="str">
        <f>IF(AND('Mapa final'!$AD$26="Media",'Mapa final'!$AF$26="Leve"),CONCATENATE("R3C",'Mapa final'!$T$26),"")</f>
        <v/>
      </c>
      <c r="M28" s="54" t="str">
        <f>IF(AND('Mapa final'!$AD$27="Media",'Mapa final'!$AF$27="Leve"),CONCATENATE("R3C",'Mapa final'!$T$27),"")</f>
        <v/>
      </c>
      <c r="N28" s="54" t="str">
        <f>IF(AND('Mapa final'!$AD$28="Media",'Mapa final'!$AF$28="Leve"),CONCATENATE("R3C",'Mapa final'!$T$28),"")</f>
        <v/>
      </c>
      <c r="O28" s="55" t="str">
        <f>IF(AND('Mapa final'!$AD$29="Media",'Mapa final'!$AF$29="Leve"),CONCATENATE("R3C",'Mapa final'!$T$29),"")</f>
        <v/>
      </c>
      <c r="P28" s="53" t="str">
        <f>IF(AND('Mapa final'!$AD$24="Media",'Mapa final'!$AF$24="Menor"),CONCATENATE("R3C",'Mapa final'!$T$24),"")</f>
        <v/>
      </c>
      <c r="Q28" s="54" t="str">
        <f>IF(AND('Mapa final'!$AD$25="Media",'Mapa final'!$AF$25="Menor"),CONCATENATE("R3C",'Mapa final'!$T$25),"")</f>
        <v/>
      </c>
      <c r="R28" s="54" t="str">
        <f>IF(AND('Mapa final'!$AD$26="Media",'Mapa final'!$AF$26="Menor"),CONCATENATE("R3C",'Mapa final'!$T$26),"")</f>
        <v/>
      </c>
      <c r="S28" s="54" t="str">
        <f>IF(AND('Mapa final'!$AD$27="Media",'Mapa final'!$AF$27="Menor"),CONCATENATE("R3C",'Mapa final'!$T$27),"")</f>
        <v/>
      </c>
      <c r="T28" s="54" t="str">
        <f>IF(AND('Mapa final'!$AD$28="Media",'Mapa final'!$AF$28="Menor"),CONCATENATE("R3C",'Mapa final'!$T$28),"")</f>
        <v/>
      </c>
      <c r="U28" s="55" t="str">
        <f>IF(AND('Mapa final'!$AD$29="Media",'Mapa final'!$AF$29="Menor"),CONCATENATE("R3C",'Mapa final'!$T$29),"")</f>
        <v/>
      </c>
      <c r="V28" s="53" t="str">
        <f>IF(AND('Mapa final'!$AD$24="Media",'Mapa final'!$AF$24="Moderado"),CONCATENATE("R3C",'Mapa final'!$T$24),"")</f>
        <v/>
      </c>
      <c r="W28" s="54" t="str">
        <f>IF(AND('Mapa final'!$AD$25="Media",'Mapa final'!$AF$25="Moderado"),CONCATENATE("R3C",'Mapa final'!$T$25),"")</f>
        <v/>
      </c>
      <c r="X28" s="54" t="str">
        <f>IF(AND('Mapa final'!$AD$26="Media",'Mapa final'!$AF$26="Moderado"),CONCATENATE("R3C",'Mapa final'!$T$26),"")</f>
        <v/>
      </c>
      <c r="Y28" s="54" t="str">
        <f>IF(AND('Mapa final'!$AD$27="Media",'Mapa final'!$AF$27="Moderado"),CONCATENATE("R3C",'Mapa final'!$T$27),"")</f>
        <v/>
      </c>
      <c r="Z28" s="54" t="str">
        <f>IF(AND('Mapa final'!$AD$28="Media",'Mapa final'!$AF$28="Moderado"),CONCATENATE("R3C",'Mapa final'!$T$28),"")</f>
        <v/>
      </c>
      <c r="AA28" s="55" t="str">
        <f>IF(AND('Mapa final'!$AD$29="Media",'Mapa final'!$AF$29="Moderado"),CONCATENATE("R3C",'Mapa final'!$T$29),"")</f>
        <v/>
      </c>
      <c r="AB28" s="38" t="str">
        <f>IF(AND('Mapa final'!$AD$24="Media",'Mapa final'!$AF$24="Mayor"),CONCATENATE("R3C",'Mapa final'!$T$24),"")</f>
        <v/>
      </c>
      <c r="AC28" s="39" t="str">
        <f>IF(AND('Mapa final'!$AD$25="Media",'Mapa final'!$AF$25="Mayor"),CONCATENATE("R3C",'Mapa final'!$T$25),"")</f>
        <v/>
      </c>
      <c r="AD28" s="39" t="str">
        <f>IF(AND('Mapa final'!$AD$26="Media",'Mapa final'!$AF$26="Mayor"),CONCATENATE("R3C",'Mapa final'!$T$26),"")</f>
        <v/>
      </c>
      <c r="AE28" s="39" t="str">
        <f>IF(AND('Mapa final'!$AD$27="Media",'Mapa final'!$AF$27="Mayor"),CONCATENATE("R3C",'Mapa final'!$T$27),"")</f>
        <v/>
      </c>
      <c r="AF28" s="39" t="str">
        <f>IF(AND('Mapa final'!$AD$28="Media",'Mapa final'!$AF$28="Mayor"),CONCATENATE("R3C",'Mapa final'!$T$28),"")</f>
        <v/>
      </c>
      <c r="AG28" s="40" t="str">
        <f>IF(AND('Mapa final'!$AD$29="Media",'Mapa final'!$AF$29="Mayor"),CONCATENATE("R3C",'Mapa final'!$T$29),"")</f>
        <v/>
      </c>
      <c r="AH28" s="41" t="str">
        <f>IF(AND('Mapa final'!$AD$24="Media",'Mapa final'!$AF$24="Catastrófico"),CONCATENATE("R3C",'Mapa final'!$T$24),"")</f>
        <v>R3C1</v>
      </c>
      <c r="AI28" s="42" t="str">
        <f>IF(AND('Mapa final'!$AD$25="Media",'Mapa final'!$AF$25="Catastrófico"),CONCATENATE("R3C",'Mapa final'!$T$25),"")</f>
        <v/>
      </c>
      <c r="AJ28" s="42" t="str">
        <f>IF(AND('Mapa final'!$AD$26="Media",'Mapa final'!$AF$26="Catastrófico"),CONCATENATE("R3C",'Mapa final'!$T$26),"")</f>
        <v/>
      </c>
      <c r="AK28" s="42" t="str">
        <f>IF(AND('Mapa final'!$AD$27="Media",'Mapa final'!$AF$27="Catastrófico"),CONCATENATE("R3C",'Mapa final'!$T$27),"")</f>
        <v/>
      </c>
      <c r="AL28" s="42" t="str">
        <f>IF(AND('Mapa final'!$AD$28="Media",'Mapa final'!$AF$28="Catastrófico"),CONCATENATE("R3C",'Mapa final'!$T$28),"")</f>
        <v/>
      </c>
      <c r="AM28" s="43" t="str">
        <f>IF(AND('Mapa final'!$AD$29="Media",'Mapa final'!$AF$29="Catastrófico"),CONCATENATE("R3C",'Mapa final'!$T$29),"")</f>
        <v/>
      </c>
      <c r="AN28" s="69"/>
      <c r="AO28" s="531"/>
      <c r="AP28" s="532"/>
      <c r="AQ28" s="532"/>
      <c r="AR28" s="532"/>
      <c r="AS28" s="532"/>
      <c r="AT28" s="533"/>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450"/>
      <c r="C29" s="450"/>
      <c r="D29" s="451"/>
      <c r="E29" s="491"/>
      <c r="F29" s="492"/>
      <c r="G29" s="492"/>
      <c r="H29" s="492"/>
      <c r="I29" s="493"/>
      <c r="J29" s="53" t="str">
        <f>IF(AND('Mapa final'!$AD$30="Media",'Mapa final'!$AF$30="Leve"),CONCATENATE("R4C",'Mapa final'!$T$30),"")</f>
        <v/>
      </c>
      <c r="K29" s="54" t="str">
        <f>IF(AND('Mapa final'!$AD$31="Media",'Mapa final'!$AF$31="Leve"),CONCATENATE("R4C",'Mapa final'!$T$31),"")</f>
        <v/>
      </c>
      <c r="L29" s="54" t="str">
        <f>IF(AND('Mapa final'!$AD$32="Media",'Mapa final'!$AF$32="Leve"),CONCATENATE("R4C",'Mapa final'!$T$32),"")</f>
        <v/>
      </c>
      <c r="M29" s="54" t="str">
        <f>IF(AND('Mapa final'!$AD$33="Media",'Mapa final'!$AF$33="Leve"),CONCATENATE("R4C",'Mapa final'!$T$33),"")</f>
        <v/>
      </c>
      <c r="N29" s="54" t="str">
        <f>IF(AND('Mapa final'!$AD$34="Media",'Mapa final'!$AF$34="Leve"),CONCATENATE("R4C",'Mapa final'!$T$34),"")</f>
        <v/>
      </c>
      <c r="O29" s="55" t="str">
        <f>IF(AND('Mapa final'!$AD$35="Media",'Mapa final'!$AF$35="Leve"),CONCATENATE("R4C",'Mapa final'!$T$35),"")</f>
        <v/>
      </c>
      <c r="P29" s="53" t="str">
        <f>IF(AND('Mapa final'!$AD$30="Media",'Mapa final'!$AF$30="Menor"),CONCATENATE("R4C",'Mapa final'!$T$30),"")</f>
        <v/>
      </c>
      <c r="Q29" s="54" t="str">
        <f>IF(AND('Mapa final'!$AD$31="Media",'Mapa final'!$AF$31="Menor"),CONCATENATE("R4C",'Mapa final'!$T$31),"")</f>
        <v/>
      </c>
      <c r="R29" s="54" t="str">
        <f>IF(AND('Mapa final'!$AD$32="Media",'Mapa final'!$AF$32="Menor"),CONCATENATE("R4C",'Mapa final'!$T$32),"")</f>
        <v/>
      </c>
      <c r="S29" s="54" t="str">
        <f>IF(AND('Mapa final'!$AD$33="Media",'Mapa final'!$AF$33="Menor"),CONCATENATE("R4C",'Mapa final'!$T$33),"")</f>
        <v/>
      </c>
      <c r="T29" s="54" t="str">
        <f>IF(AND('Mapa final'!$AD$34="Media",'Mapa final'!$AF$34="Menor"),CONCATENATE("R4C",'Mapa final'!$T$34),"")</f>
        <v/>
      </c>
      <c r="U29" s="55" t="str">
        <f>IF(AND('Mapa final'!$AD$35="Media",'Mapa final'!$AF$35="Menor"),CONCATENATE("R4C",'Mapa final'!$T$35),"")</f>
        <v/>
      </c>
      <c r="V29" s="53" t="str">
        <f>IF(AND('Mapa final'!$AD$30="Media",'Mapa final'!$AF$30="Moderado"),CONCATENATE("R4C",'Mapa final'!$T$30),"")</f>
        <v/>
      </c>
      <c r="W29" s="54" t="str">
        <f>IF(AND('Mapa final'!$AD$31="Media",'Mapa final'!$AF$31="Moderado"),CONCATENATE("R4C",'Mapa final'!$T$31),"")</f>
        <v/>
      </c>
      <c r="X29" s="54" t="str">
        <f>IF(AND('Mapa final'!$AD$32="Media",'Mapa final'!$AF$32="Moderado"),CONCATENATE("R4C",'Mapa final'!$T$32),"")</f>
        <v/>
      </c>
      <c r="Y29" s="54" t="str">
        <f>IF(AND('Mapa final'!$AD$33="Media",'Mapa final'!$AF$33="Moderado"),CONCATENATE("R4C",'Mapa final'!$T$33),"")</f>
        <v/>
      </c>
      <c r="Z29" s="54" t="str">
        <f>IF(AND('Mapa final'!$AD$34="Media",'Mapa final'!$AF$34="Moderado"),CONCATENATE("R4C",'Mapa final'!$T$34),"")</f>
        <v/>
      </c>
      <c r="AA29" s="55" t="str">
        <f>IF(AND('Mapa final'!$AD$35="Media",'Mapa final'!$AF$35="Moderado"),CONCATENATE("R4C",'Mapa final'!$T$35),"")</f>
        <v/>
      </c>
      <c r="AB29" s="38" t="str">
        <f>IF(AND('Mapa final'!$AD$30="Media",'Mapa final'!$AF$30="Mayor"),CONCATENATE("R4C",'Mapa final'!$T$30),"")</f>
        <v/>
      </c>
      <c r="AC29" s="39" t="str">
        <f>IF(AND('Mapa final'!$AD$31="Media",'Mapa final'!$AF$31="Mayor"),CONCATENATE("R4C",'Mapa final'!$T$31),"")</f>
        <v/>
      </c>
      <c r="AD29" s="39" t="str">
        <f>IF(AND('Mapa final'!$AD$32="Media",'Mapa final'!$AF$32="Mayor"),CONCATENATE("R4C",'Mapa final'!$T$32),"")</f>
        <v/>
      </c>
      <c r="AE29" s="39" t="str">
        <f>IF(AND('Mapa final'!$AD$33="Media",'Mapa final'!$AF$33="Mayor"),CONCATENATE("R4C",'Mapa final'!$T$33),"")</f>
        <v/>
      </c>
      <c r="AF29" s="39" t="str">
        <f>IF(AND('Mapa final'!$AD$34="Media",'Mapa final'!$AF$34="Mayor"),CONCATENATE("R4C",'Mapa final'!$T$34),"")</f>
        <v/>
      </c>
      <c r="AG29" s="40" t="str">
        <f>IF(AND('Mapa final'!$AD$35="Media",'Mapa final'!$AF$35="Mayor"),CONCATENATE("R4C",'Mapa final'!$T$35),"")</f>
        <v/>
      </c>
      <c r="AH29" s="41" t="str">
        <f>IF(AND('Mapa final'!$AD$30="Media",'Mapa final'!$AF$30="Catastrófico"),CONCATENATE("R4C",'Mapa final'!$T$30),"")</f>
        <v/>
      </c>
      <c r="AI29" s="42" t="str">
        <f>IF(AND('Mapa final'!$AD$31="Media",'Mapa final'!$AF$31="Catastrófico"),CONCATENATE("R4C",'Mapa final'!$T$31),"")</f>
        <v/>
      </c>
      <c r="AJ29" s="42" t="str">
        <f>IF(AND('Mapa final'!$AD$32="Media",'Mapa final'!$AF$32="Catastrófico"),CONCATENATE("R4C",'Mapa final'!$T$32),"")</f>
        <v/>
      </c>
      <c r="AK29" s="42" t="str">
        <f>IF(AND('Mapa final'!$AD$33="Media",'Mapa final'!$AF$33="Catastrófico"),CONCATENATE("R4C",'Mapa final'!$T$33),"")</f>
        <v/>
      </c>
      <c r="AL29" s="42" t="str">
        <f>IF(AND('Mapa final'!$AD$34="Media",'Mapa final'!$AF$34="Catastrófico"),CONCATENATE("R4C",'Mapa final'!$T$34),"")</f>
        <v/>
      </c>
      <c r="AM29" s="43" t="str">
        <f>IF(AND('Mapa final'!$AD$35="Media",'Mapa final'!$AF$35="Catastrófico"),CONCATENATE("R4C",'Mapa final'!$T$35),"")</f>
        <v/>
      </c>
      <c r="AN29" s="69"/>
      <c r="AO29" s="531"/>
      <c r="AP29" s="532"/>
      <c r="AQ29" s="532"/>
      <c r="AR29" s="532"/>
      <c r="AS29" s="532"/>
      <c r="AT29" s="533"/>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450"/>
      <c r="C30" s="450"/>
      <c r="D30" s="451"/>
      <c r="E30" s="491"/>
      <c r="F30" s="492"/>
      <c r="G30" s="492"/>
      <c r="H30" s="492"/>
      <c r="I30" s="493"/>
      <c r="J30" s="53" t="str">
        <f>IF(AND('Mapa final'!$AD$36="Media",'Mapa final'!$AF$36="Leve"),CONCATENATE("R5C",'Mapa final'!$T$36),"")</f>
        <v/>
      </c>
      <c r="K30" s="54" t="str">
        <f>IF(AND('Mapa final'!$AD$37="Media",'Mapa final'!$AF$37="Leve"),CONCATENATE("R5C",'Mapa final'!$T$37),"")</f>
        <v/>
      </c>
      <c r="L30" s="54" t="str">
        <f>IF(AND('Mapa final'!$AD$38="Media",'Mapa final'!$AF$38="Leve"),CONCATENATE("R5C",'Mapa final'!$T$38),"")</f>
        <v/>
      </c>
      <c r="M30" s="54" t="str">
        <f>IF(AND('Mapa final'!$AD$39="Media",'Mapa final'!$AF$39="Leve"),CONCATENATE("R5C",'Mapa final'!$T$39),"")</f>
        <v/>
      </c>
      <c r="N30" s="54" t="str">
        <f>IF(AND('Mapa final'!$AD$40="Media",'Mapa final'!$AF$40="Leve"),CONCATENATE("R5C",'Mapa final'!$T$40),"")</f>
        <v/>
      </c>
      <c r="O30" s="55" t="str">
        <f>IF(AND('Mapa final'!$AD$41="Media",'Mapa final'!$AF$41="Leve"),CONCATENATE("R5C",'Mapa final'!$T$41),"")</f>
        <v/>
      </c>
      <c r="P30" s="53" t="str">
        <f>IF(AND('Mapa final'!$AD$36="Media",'Mapa final'!$AF$36="Menor"),CONCATENATE("R5C",'Mapa final'!$T$36),"")</f>
        <v/>
      </c>
      <c r="Q30" s="54" t="str">
        <f>IF(AND('Mapa final'!$AD$37="Media",'Mapa final'!$AF$37="Menor"),CONCATENATE("R5C",'Mapa final'!$T$37),"")</f>
        <v/>
      </c>
      <c r="R30" s="54" t="str">
        <f>IF(AND('Mapa final'!$AD$38="Media",'Mapa final'!$AF$38="Menor"),CONCATENATE("R5C",'Mapa final'!$T$38),"")</f>
        <v/>
      </c>
      <c r="S30" s="54" t="str">
        <f>IF(AND('Mapa final'!$AD$39="Media",'Mapa final'!$AF$39="Menor"),CONCATENATE("R5C",'Mapa final'!$T$39),"")</f>
        <v/>
      </c>
      <c r="T30" s="54" t="str">
        <f>IF(AND('Mapa final'!$AD$40="Media",'Mapa final'!$AF$40="Menor"),CONCATENATE("R5C",'Mapa final'!$T$40),"")</f>
        <v/>
      </c>
      <c r="U30" s="55" t="str">
        <f>IF(AND('Mapa final'!$AD$41="Media",'Mapa final'!$AF$41="Menor"),CONCATENATE("R5C",'Mapa final'!$T$41),"")</f>
        <v/>
      </c>
      <c r="V30" s="53" t="str">
        <f>IF(AND('Mapa final'!$AD$36="Media",'Mapa final'!$AF$36="Moderado"),CONCATENATE("R5C",'Mapa final'!$T$36),"")</f>
        <v/>
      </c>
      <c r="W30" s="54" t="str">
        <f>IF(AND('Mapa final'!$AD$37="Media",'Mapa final'!$AF$37="Moderado"),CONCATENATE("R5C",'Mapa final'!$T$37),"")</f>
        <v/>
      </c>
      <c r="X30" s="54" t="str">
        <f>IF(AND('Mapa final'!$AD$38="Media",'Mapa final'!$AF$38="Moderado"),CONCATENATE("R5C",'Mapa final'!$T$38),"")</f>
        <v/>
      </c>
      <c r="Y30" s="54" t="str">
        <f>IF(AND('Mapa final'!$AD$39="Media",'Mapa final'!$AF$39="Moderado"),CONCATENATE("R5C",'Mapa final'!$T$39),"")</f>
        <v/>
      </c>
      <c r="Z30" s="54" t="str">
        <f>IF(AND('Mapa final'!$AD$40="Media",'Mapa final'!$AF$40="Moderado"),CONCATENATE("R5C",'Mapa final'!$T$40),"")</f>
        <v/>
      </c>
      <c r="AA30" s="55" t="str">
        <f>IF(AND('Mapa final'!$AD$41="Media",'Mapa final'!$AF$41="Moderado"),CONCATENATE("R5C",'Mapa final'!$T$41),"")</f>
        <v/>
      </c>
      <c r="AB30" s="38" t="str">
        <f>IF(AND('Mapa final'!$AD$36="Media",'Mapa final'!$AF$36="Mayor"),CONCATENATE("R5C",'Mapa final'!$T$36),"")</f>
        <v>R5C1</v>
      </c>
      <c r="AC30" s="39" t="str">
        <f>IF(AND('Mapa final'!$AD$37="Media",'Mapa final'!$AF$37="Mayor"),CONCATENATE("R5C",'Mapa final'!$T$37),"")</f>
        <v/>
      </c>
      <c r="AD30" s="39" t="str">
        <f>IF(AND('Mapa final'!$AD$38="Media",'Mapa final'!$AF$38="Mayor"),CONCATENATE("R5C",'Mapa final'!$T$38),"")</f>
        <v/>
      </c>
      <c r="AE30" s="39" t="str">
        <f>IF(AND('Mapa final'!$AD$39="Media",'Mapa final'!$AF$39="Mayor"),CONCATENATE("R5C",'Mapa final'!$T$39),"")</f>
        <v/>
      </c>
      <c r="AF30" s="39" t="str">
        <f>IF(AND('Mapa final'!$AD$40="Media",'Mapa final'!$AF$40="Mayor"),CONCATENATE("R5C",'Mapa final'!$T$40),"")</f>
        <v/>
      </c>
      <c r="AG30" s="40" t="str">
        <f>IF(AND('Mapa final'!$AD$41="Media",'Mapa final'!$AF$41="Mayor"),CONCATENATE("R5C",'Mapa final'!$T$41),"")</f>
        <v/>
      </c>
      <c r="AH30" s="41" t="str">
        <f>IF(AND('Mapa final'!$AD$36="Media",'Mapa final'!$AF$36="Catastrófico"),CONCATENATE("R5C",'Mapa final'!$T$36),"")</f>
        <v/>
      </c>
      <c r="AI30" s="42" t="str">
        <f>IF(AND('Mapa final'!$AD$37="Media",'Mapa final'!$AF$37="Catastrófico"),CONCATENATE("R5C",'Mapa final'!$T$37),"")</f>
        <v/>
      </c>
      <c r="AJ30" s="42" t="str">
        <f>IF(AND('Mapa final'!$AD$38="Media",'Mapa final'!$AF$38="Catastrófico"),CONCATENATE("R5C",'Mapa final'!$T$38),"")</f>
        <v/>
      </c>
      <c r="AK30" s="42" t="str">
        <f>IF(AND('Mapa final'!$AD$39="Media",'Mapa final'!$AF$39="Catastrófico"),CONCATENATE("R5C",'Mapa final'!$T$39),"")</f>
        <v/>
      </c>
      <c r="AL30" s="42" t="str">
        <f>IF(AND('Mapa final'!$AD$40="Media",'Mapa final'!$AF$40="Catastrófico"),CONCATENATE("R5C",'Mapa final'!$T$40),"")</f>
        <v/>
      </c>
      <c r="AM30" s="43" t="str">
        <f>IF(AND('Mapa final'!$AD$41="Media",'Mapa final'!$AF$41="Catastrófico"),CONCATENATE("R5C",'Mapa final'!$T$41),"")</f>
        <v/>
      </c>
      <c r="AN30" s="69"/>
      <c r="AO30" s="531"/>
      <c r="AP30" s="532"/>
      <c r="AQ30" s="532"/>
      <c r="AR30" s="532"/>
      <c r="AS30" s="532"/>
      <c r="AT30" s="533"/>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450"/>
      <c r="C31" s="450"/>
      <c r="D31" s="451"/>
      <c r="E31" s="491"/>
      <c r="F31" s="492"/>
      <c r="G31" s="492"/>
      <c r="H31" s="492"/>
      <c r="I31" s="493"/>
      <c r="J31" s="53" t="str">
        <f>IF(AND('Mapa final'!$AD$42="Media",'Mapa final'!$AF$42="Leve"),CONCATENATE("R6C",'Mapa final'!$T$42),"")</f>
        <v/>
      </c>
      <c r="K31" s="54" t="str">
        <f>IF(AND('Mapa final'!$AD$43="Media",'Mapa final'!$AF$43="Leve"),CONCATENATE("R6C",'Mapa final'!$T$43),"")</f>
        <v/>
      </c>
      <c r="L31" s="54" t="str">
        <f>IF(AND('Mapa final'!$AD$44="Media",'Mapa final'!$AF$44="Leve"),CONCATENATE("R6C",'Mapa final'!$T$44),"")</f>
        <v/>
      </c>
      <c r="M31" s="54" t="str">
        <f>IF(AND('Mapa final'!$AD$45="Media",'Mapa final'!$AF$45="Leve"),CONCATENATE("R6C",'Mapa final'!$T$45),"")</f>
        <v/>
      </c>
      <c r="N31" s="54" t="str">
        <f>IF(AND('Mapa final'!$AD$46="Media",'Mapa final'!$AF$46="Leve"),CONCATENATE("R6C",'Mapa final'!$T$46),"")</f>
        <v/>
      </c>
      <c r="O31" s="55" t="str">
        <f>IF(AND('Mapa final'!$AD$47="Media",'Mapa final'!$AF$47="Leve"),CONCATENATE("R6C",'Mapa final'!$T$47),"")</f>
        <v/>
      </c>
      <c r="P31" s="53" t="str">
        <f>IF(AND('Mapa final'!$AD$42="Media",'Mapa final'!$AF$42="Menor"),CONCATENATE("R6C",'Mapa final'!$T$42),"")</f>
        <v/>
      </c>
      <c r="Q31" s="54" t="str">
        <f>IF(AND('Mapa final'!$AD$43="Media",'Mapa final'!$AF$43="Menor"),CONCATENATE("R6C",'Mapa final'!$T$43),"")</f>
        <v/>
      </c>
      <c r="R31" s="54" t="str">
        <f>IF(AND('Mapa final'!$AD$44="Media",'Mapa final'!$AF$44="Menor"),CONCATENATE("R6C",'Mapa final'!$T$44),"")</f>
        <v/>
      </c>
      <c r="S31" s="54" t="str">
        <f>IF(AND('Mapa final'!$AD$45="Media",'Mapa final'!$AF$45="Menor"),CONCATENATE("R6C",'Mapa final'!$T$45),"")</f>
        <v/>
      </c>
      <c r="T31" s="54" t="str">
        <f>IF(AND('Mapa final'!$AD$46="Media",'Mapa final'!$AF$46="Menor"),CONCATENATE("R6C",'Mapa final'!$T$46),"")</f>
        <v/>
      </c>
      <c r="U31" s="55" t="str">
        <f>IF(AND('Mapa final'!$AD$47="Media",'Mapa final'!$AF$47="Menor"),CONCATENATE("R6C",'Mapa final'!$T$47),"")</f>
        <v/>
      </c>
      <c r="V31" s="53" t="str">
        <f>IF(AND('Mapa final'!$AD$42="Media",'Mapa final'!$AF$42="Moderado"),CONCATENATE("R6C",'Mapa final'!$T$42),"")</f>
        <v/>
      </c>
      <c r="W31" s="54" t="str">
        <f>IF(AND('Mapa final'!$AD$43="Media",'Mapa final'!$AF$43="Moderado"),CONCATENATE("R6C",'Mapa final'!$T$43),"")</f>
        <v/>
      </c>
      <c r="X31" s="54" t="str">
        <f>IF(AND('Mapa final'!$AD$44="Media",'Mapa final'!$AF$44="Moderado"),CONCATENATE("R6C",'Mapa final'!$T$44),"")</f>
        <v/>
      </c>
      <c r="Y31" s="54" t="str">
        <f>IF(AND('Mapa final'!$AD$45="Media",'Mapa final'!$AF$45="Moderado"),CONCATENATE("R6C",'Mapa final'!$T$45),"")</f>
        <v/>
      </c>
      <c r="Z31" s="54" t="str">
        <f>IF(AND('Mapa final'!$AD$46="Media",'Mapa final'!$AF$46="Moderado"),CONCATENATE("R6C",'Mapa final'!$T$46),"")</f>
        <v/>
      </c>
      <c r="AA31" s="55" t="str">
        <f>IF(AND('Mapa final'!$AD$47="Media",'Mapa final'!$AF$47="Moderado"),CONCATENATE("R6C",'Mapa final'!$T$47),"")</f>
        <v/>
      </c>
      <c r="AB31" s="38" t="str">
        <f>IF(AND('Mapa final'!$AD$42="Media",'Mapa final'!$AF$42="Mayor"),CONCATENATE("R6C",'Mapa final'!$T$42),"")</f>
        <v/>
      </c>
      <c r="AC31" s="39" t="str">
        <f>IF(AND('Mapa final'!$AD$43="Media",'Mapa final'!$AF$43="Mayor"),CONCATENATE("R6C",'Mapa final'!$T$43),"")</f>
        <v/>
      </c>
      <c r="AD31" s="39" t="str">
        <f>IF(AND('Mapa final'!$AD$44="Media",'Mapa final'!$AF$44="Mayor"),CONCATENATE("R6C",'Mapa final'!$T$44),"")</f>
        <v/>
      </c>
      <c r="AE31" s="39" t="str">
        <f>IF(AND('Mapa final'!$AD$45="Media",'Mapa final'!$AF$45="Mayor"),CONCATENATE("R6C",'Mapa final'!$T$45),"")</f>
        <v/>
      </c>
      <c r="AF31" s="39" t="str">
        <f>IF(AND('Mapa final'!$AD$46="Media",'Mapa final'!$AF$46="Mayor"),CONCATENATE("R6C",'Mapa final'!$T$46),"")</f>
        <v/>
      </c>
      <c r="AG31" s="40" t="str">
        <f>IF(AND('Mapa final'!$AD$47="Media",'Mapa final'!$AF$47="Mayor"),CONCATENATE("R6C",'Mapa final'!$T$47),"")</f>
        <v/>
      </c>
      <c r="AH31" s="41" t="str">
        <f>IF(AND('Mapa final'!$AD$42="Media",'Mapa final'!$AF$42="Catastrófico"),CONCATENATE("R6C",'Mapa final'!$T$42),"")</f>
        <v>R6C1</v>
      </c>
      <c r="AI31" s="42" t="str">
        <f>IF(AND('Mapa final'!$AD$43="Media",'Mapa final'!$AF$43="Catastrófico"),CONCATENATE("R6C",'Mapa final'!$T$43),"")</f>
        <v/>
      </c>
      <c r="AJ31" s="42" t="str">
        <f>IF(AND('Mapa final'!$AD$44="Media",'Mapa final'!$AF$44="Catastrófico"),CONCATENATE("R6C",'Mapa final'!$T$44),"")</f>
        <v/>
      </c>
      <c r="AK31" s="42" t="str">
        <f>IF(AND('Mapa final'!$AD$45="Media",'Mapa final'!$AF$45="Catastrófico"),CONCATENATE("R6C",'Mapa final'!$T$45),"")</f>
        <v/>
      </c>
      <c r="AL31" s="42" t="str">
        <f>IF(AND('Mapa final'!$AD$46="Media",'Mapa final'!$AF$46="Catastrófico"),CONCATENATE("R6C",'Mapa final'!$T$46),"")</f>
        <v/>
      </c>
      <c r="AM31" s="43" t="str">
        <f>IF(AND('Mapa final'!$AD$47="Media",'Mapa final'!$AF$47="Catastrófico"),CONCATENATE("R6C",'Mapa final'!$T$47),"")</f>
        <v/>
      </c>
      <c r="AN31" s="69"/>
      <c r="AO31" s="531"/>
      <c r="AP31" s="532"/>
      <c r="AQ31" s="532"/>
      <c r="AR31" s="532"/>
      <c r="AS31" s="532"/>
      <c r="AT31" s="533"/>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450"/>
      <c r="C32" s="450"/>
      <c r="D32" s="451"/>
      <c r="E32" s="491"/>
      <c r="F32" s="492"/>
      <c r="G32" s="492"/>
      <c r="H32" s="492"/>
      <c r="I32" s="493"/>
      <c r="J32" s="53" t="str">
        <f>IF(AND('Mapa final'!$AD$48="Media",'Mapa final'!$AF$48="Leve"),CONCATENATE("R7C",'Mapa final'!$T$48),"")</f>
        <v/>
      </c>
      <c r="K32" s="54" t="str">
        <f>IF(AND('Mapa final'!$AD$49="Media",'Mapa final'!$AF$49="Leve"),CONCATENATE("R7C",'Mapa final'!$T$49),"")</f>
        <v/>
      </c>
      <c r="L32" s="54" t="str">
        <f>IF(AND('Mapa final'!$AD$50="Media",'Mapa final'!$AF$50="Leve"),CONCATENATE("R7C",'Mapa final'!$T$50),"")</f>
        <v/>
      </c>
      <c r="M32" s="54" t="str">
        <f>IF(AND('Mapa final'!$AD$51="Media",'Mapa final'!$AF$51="Leve"),CONCATENATE("R7C",'Mapa final'!$T$51),"")</f>
        <v/>
      </c>
      <c r="N32" s="54" t="str">
        <f>IF(AND('Mapa final'!$AD$52="Media",'Mapa final'!$AF$52="Leve"),CONCATENATE("R7C",'Mapa final'!$T$52),"")</f>
        <v/>
      </c>
      <c r="O32" s="55" t="str">
        <f>IF(AND('Mapa final'!$AD$53="Media",'Mapa final'!$AF$53="Leve"),CONCATENATE("R7C",'Mapa final'!$T$53),"")</f>
        <v/>
      </c>
      <c r="P32" s="53" t="str">
        <f>IF(AND('Mapa final'!$AD$48="Media",'Mapa final'!$AF$48="Menor"),CONCATENATE("R7C",'Mapa final'!$T$48),"")</f>
        <v/>
      </c>
      <c r="Q32" s="54" t="str">
        <f>IF(AND('Mapa final'!$AD$49="Media",'Mapa final'!$AF$49="Menor"),CONCATENATE("R7C",'Mapa final'!$T$49),"")</f>
        <v/>
      </c>
      <c r="R32" s="54" t="str">
        <f>IF(AND('Mapa final'!$AD$50="Media",'Mapa final'!$AF$50="Menor"),CONCATENATE("R7C",'Mapa final'!$T$50),"")</f>
        <v/>
      </c>
      <c r="S32" s="54" t="str">
        <f>IF(AND('Mapa final'!$AD$51="Media",'Mapa final'!$AF$51="Menor"),CONCATENATE("R7C",'Mapa final'!$T$51),"")</f>
        <v/>
      </c>
      <c r="T32" s="54" t="str">
        <f>IF(AND('Mapa final'!$AD$52="Media",'Mapa final'!$AF$52="Menor"),CONCATENATE("R7C",'Mapa final'!$T$52),"")</f>
        <v/>
      </c>
      <c r="U32" s="55" t="str">
        <f>IF(AND('Mapa final'!$AD$53="Media",'Mapa final'!$AF$53="Menor"),CONCATENATE("R7C",'Mapa final'!$T$53),"")</f>
        <v/>
      </c>
      <c r="V32" s="53" t="str">
        <f>IF(AND('Mapa final'!$AD$48="Media",'Mapa final'!$AF$48="Moderado"),CONCATENATE("R7C",'Mapa final'!$T$48),"")</f>
        <v/>
      </c>
      <c r="W32" s="54" t="str">
        <f>IF(AND('Mapa final'!$AD$49="Media",'Mapa final'!$AF$49="Moderado"),CONCATENATE("R7C",'Mapa final'!$T$49),"")</f>
        <v/>
      </c>
      <c r="X32" s="54" t="str">
        <f>IF(AND('Mapa final'!$AD$50="Media",'Mapa final'!$AF$50="Moderado"),CONCATENATE("R7C",'Mapa final'!$T$50),"")</f>
        <v/>
      </c>
      <c r="Y32" s="54" t="str">
        <f>IF(AND('Mapa final'!$AD$51="Media",'Mapa final'!$AF$51="Moderado"),CONCATENATE("R7C",'Mapa final'!$T$51),"")</f>
        <v/>
      </c>
      <c r="Z32" s="54" t="str">
        <f>IF(AND('Mapa final'!$AD$52="Media",'Mapa final'!$AF$52="Moderado"),CONCATENATE("R7C",'Mapa final'!$T$52),"")</f>
        <v/>
      </c>
      <c r="AA32" s="55" t="str">
        <f>IF(AND('Mapa final'!$AD$53="Media",'Mapa final'!$AF$53="Moderado"),CONCATENATE("R7C",'Mapa final'!$T$53),"")</f>
        <v/>
      </c>
      <c r="AB32" s="38" t="str">
        <f>IF(AND('Mapa final'!$AD$48="Media",'Mapa final'!$AF$48="Mayor"),CONCATENATE("R7C",'Mapa final'!$T$48),"")</f>
        <v/>
      </c>
      <c r="AC32" s="39" t="str">
        <f>IF(AND('Mapa final'!$AD$49="Media",'Mapa final'!$AF$49="Mayor"),CONCATENATE("R7C",'Mapa final'!$T$49),"")</f>
        <v/>
      </c>
      <c r="AD32" s="39" t="str">
        <f>IF(AND('Mapa final'!$AD$50="Media",'Mapa final'!$AF$50="Mayor"),CONCATENATE("R7C",'Mapa final'!$T$50),"")</f>
        <v/>
      </c>
      <c r="AE32" s="39" t="str">
        <f>IF(AND('Mapa final'!$AD$51="Media",'Mapa final'!$AF$51="Mayor"),CONCATENATE("R7C",'Mapa final'!$T$51),"")</f>
        <v/>
      </c>
      <c r="AF32" s="39" t="str">
        <f>IF(AND('Mapa final'!$AD$52="Media",'Mapa final'!$AF$52="Mayor"),CONCATENATE("R7C",'Mapa final'!$T$52),"")</f>
        <v/>
      </c>
      <c r="AG32" s="40" t="str">
        <f>IF(AND('Mapa final'!$AD$53="Media",'Mapa final'!$AF$53="Mayor"),CONCATENATE("R7C",'Mapa final'!$T$53),"")</f>
        <v/>
      </c>
      <c r="AH32" s="41" t="str">
        <f>IF(AND('Mapa final'!$AD$48="Media",'Mapa final'!$AF$48="Catastrófico"),CONCATENATE("R7C",'Mapa final'!$T$48),"")</f>
        <v>R7C1</v>
      </c>
      <c r="AI32" s="42" t="str">
        <f>IF(AND('Mapa final'!$AD$49="Media",'Mapa final'!$AF$49="Catastrófico"),CONCATENATE("R7C",'Mapa final'!$T$49),"")</f>
        <v/>
      </c>
      <c r="AJ32" s="42" t="str">
        <f>IF(AND('Mapa final'!$AD$50="Media",'Mapa final'!$AF$50="Catastrófico"),CONCATENATE("R7C",'Mapa final'!$T$50),"")</f>
        <v/>
      </c>
      <c r="AK32" s="42" t="str">
        <f>IF(AND('Mapa final'!$AD$51="Media",'Mapa final'!$AF$51="Catastrófico"),CONCATENATE("R7C",'Mapa final'!$T$51),"")</f>
        <v/>
      </c>
      <c r="AL32" s="42" t="str">
        <f>IF(AND('Mapa final'!$AD$52="Media",'Mapa final'!$AF$52="Catastrófico"),CONCATENATE("R7C",'Mapa final'!$T$52),"")</f>
        <v/>
      </c>
      <c r="AM32" s="43" t="str">
        <f>IF(AND('Mapa final'!$AD$53="Media",'Mapa final'!$AF$53="Catastrófico"),CONCATENATE("R7C",'Mapa final'!$T$53),"")</f>
        <v/>
      </c>
      <c r="AN32" s="69"/>
      <c r="AO32" s="531"/>
      <c r="AP32" s="532"/>
      <c r="AQ32" s="532"/>
      <c r="AR32" s="532"/>
      <c r="AS32" s="532"/>
      <c r="AT32" s="533"/>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450"/>
      <c r="C33" s="450"/>
      <c r="D33" s="451"/>
      <c r="E33" s="491"/>
      <c r="F33" s="492"/>
      <c r="G33" s="492"/>
      <c r="H33" s="492"/>
      <c r="I33" s="493"/>
      <c r="J33" s="53" t="str">
        <f>IF(AND('Mapa final'!$AD$54="Media",'Mapa final'!$AF$54="Leve"),CONCATENATE("R8C",'Mapa final'!$T$54),"")</f>
        <v/>
      </c>
      <c r="K33" s="54" t="str">
        <f>IF(AND('Mapa final'!$AD$55="Media",'Mapa final'!$AF$55="Leve"),CONCATENATE("R8C",'Mapa final'!$T$55),"")</f>
        <v/>
      </c>
      <c r="L33" s="54" t="str">
        <f>IF(AND('Mapa final'!$AD$56="Media",'Mapa final'!$AF$56="Leve"),CONCATENATE("R8C",'Mapa final'!$T$56),"")</f>
        <v/>
      </c>
      <c r="M33" s="54" t="str">
        <f>IF(AND('Mapa final'!$AD$57="Media",'Mapa final'!$AF$57="Leve"),CONCATENATE("R8C",'Mapa final'!$T$57),"")</f>
        <v/>
      </c>
      <c r="N33" s="54" t="str">
        <f>IF(AND('Mapa final'!$AD$58="Media",'Mapa final'!$AF$58="Leve"),CONCATENATE("R8C",'Mapa final'!$T$58),"")</f>
        <v/>
      </c>
      <c r="O33" s="55" t="str">
        <f>IF(AND('Mapa final'!$AD$59="Media",'Mapa final'!$AF$59="Leve"),CONCATENATE("R8C",'Mapa final'!$T$59),"")</f>
        <v/>
      </c>
      <c r="P33" s="53" t="str">
        <f>IF(AND('Mapa final'!$AD$54="Media",'Mapa final'!$AF$54="Menor"),CONCATENATE("R8C",'Mapa final'!$T$54),"")</f>
        <v/>
      </c>
      <c r="Q33" s="54" t="str">
        <f>IF(AND('Mapa final'!$AD$55="Media",'Mapa final'!$AF$55="Menor"),CONCATENATE("R8C",'Mapa final'!$T$55),"")</f>
        <v/>
      </c>
      <c r="R33" s="54" t="str">
        <f>IF(AND('Mapa final'!$AD$56="Media",'Mapa final'!$AF$56="Menor"),CONCATENATE("R8C",'Mapa final'!$T$56),"")</f>
        <v/>
      </c>
      <c r="S33" s="54" t="str">
        <f>IF(AND('Mapa final'!$AD$57="Media",'Mapa final'!$AF$57="Menor"),CONCATENATE("R8C",'Mapa final'!$T$57),"")</f>
        <v/>
      </c>
      <c r="T33" s="54" t="str">
        <f>IF(AND('Mapa final'!$AD$58="Media",'Mapa final'!$AF$58="Menor"),CONCATENATE("R8C",'Mapa final'!$T$58),"")</f>
        <v/>
      </c>
      <c r="U33" s="55" t="str">
        <f>IF(AND('Mapa final'!$AD$59="Media",'Mapa final'!$AF$59="Menor"),CONCATENATE("R8C",'Mapa final'!$T$59),"")</f>
        <v/>
      </c>
      <c r="V33" s="53" t="str">
        <f>IF(AND('Mapa final'!$AD$54="Media",'Mapa final'!$AF$54="Moderado"),CONCATENATE("R8C",'Mapa final'!$T$54),"")</f>
        <v/>
      </c>
      <c r="W33" s="54" t="str">
        <f>IF(AND('Mapa final'!$AD$55="Media",'Mapa final'!$AF$55="Moderado"),CONCATENATE("R8C",'Mapa final'!$T$55),"")</f>
        <v/>
      </c>
      <c r="X33" s="54" t="str">
        <f>IF(AND('Mapa final'!$AD$56="Media",'Mapa final'!$AF$56="Moderado"),CONCATENATE("R8C",'Mapa final'!$T$56),"")</f>
        <v/>
      </c>
      <c r="Y33" s="54" t="str">
        <f>IF(AND('Mapa final'!$AD$57="Media",'Mapa final'!$AF$57="Moderado"),CONCATENATE("R8C",'Mapa final'!$T$57),"")</f>
        <v/>
      </c>
      <c r="Z33" s="54" t="str">
        <f>IF(AND('Mapa final'!$AD$58="Media",'Mapa final'!$AF$58="Moderado"),CONCATENATE("R8C",'Mapa final'!$T$58),"")</f>
        <v/>
      </c>
      <c r="AA33" s="55" t="str">
        <f>IF(AND('Mapa final'!$AD$59="Media",'Mapa final'!$AF$59="Moderado"),CONCATENATE("R8C",'Mapa final'!$T$59),"")</f>
        <v/>
      </c>
      <c r="AB33" s="38" t="str">
        <f>IF(AND('Mapa final'!$AD$54="Media",'Mapa final'!$AF$54="Mayor"),CONCATENATE("R8C",'Mapa final'!$T$54),"")</f>
        <v/>
      </c>
      <c r="AC33" s="39" t="str">
        <f>IF(AND('Mapa final'!$AD$55="Media",'Mapa final'!$AF$55="Mayor"),CONCATENATE("R8C",'Mapa final'!$T$55),"")</f>
        <v/>
      </c>
      <c r="AD33" s="39" t="str">
        <f>IF(AND('Mapa final'!$AD$56="Media",'Mapa final'!$AF$56="Mayor"),CONCATENATE("R8C",'Mapa final'!$T$56),"")</f>
        <v/>
      </c>
      <c r="AE33" s="39" t="str">
        <f>IF(AND('Mapa final'!$AD$57="Media",'Mapa final'!$AF$57="Mayor"),CONCATENATE("R8C",'Mapa final'!$T$57),"")</f>
        <v/>
      </c>
      <c r="AF33" s="39" t="str">
        <f>IF(AND('Mapa final'!$AD$58="Media",'Mapa final'!$AF$58="Mayor"),CONCATENATE("R8C",'Mapa final'!$T$58),"")</f>
        <v/>
      </c>
      <c r="AG33" s="40" t="str">
        <f>IF(AND('Mapa final'!$AD$59="Media",'Mapa final'!$AF$59="Mayor"),CONCATENATE("R8C",'Mapa final'!$T$59),"")</f>
        <v/>
      </c>
      <c r="AH33" s="41" t="str">
        <f>IF(AND('Mapa final'!$AD$54="Media",'Mapa final'!$AF$54="Catastrófico"),CONCATENATE("R8C",'Mapa final'!$T$54),"")</f>
        <v/>
      </c>
      <c r="AI33" s="42" t="str">
        <f>IF(AND('Mapa final'!$AD$55="Media",'Mapa final'!$AF$55="Catastrófico"),CONCATENATE("R8C",'Mapa final'!$T$55),"")</f>
        <v/>
      </c>
      <c r="AJ33" s="42" t="str">
        <f>IF(AND('Mapa final'!$AD$56="Media",'Mapa final'!$AF$56="Catastrófico"),CONCATENATE("R8C",'Mapa final'!$T$56),"")</f>
        <v/>
      </c>
      <c r="AK33" s="42" t="str">
        <f>IF(AND('Mapa final'!$AD$57="Media",'Mapa final'!$AF$57="Catastrófico"),CONCATENATE("R8C",'Mapa final'!$T$57),"")</f>
        <v/>
      </c>
      <c r="AL33" s="42" t="str">
        <f>IF(AND('Mapa final'!$AD$58="Media",'Mapa final'!$AF$58="Catastrófico"),CONCATENATE("R8C",'Mapa final'!$T$58),"")</f>
        <v/>
      </c>
      <c r="AM33" s="43" t="str">
        <f>IF(AND('Mapa final'!$AD$59="Media",'Mapa final'!$AF$59="Catastrófico"),CONCATENATE("R8C",'Mapa final'!$T$59),"")</f>
        <v/>
      </c>
      <c r="AN33" s="69"/>
      <c r="AO33" s="531"/>
      <c r="AP33" s="532"/>
      <c r="AQ33" s="532"/>
      <c r="AR33" s="532"/>
      <c r="AS33" s="532"/>
      <c r="AT33" s="533"/>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450"/>
      <c r="C34" s="450"/>
      <c r="D34" s="451"/>
      <c r="E34" s="491"/>
      <c r="F34" s="492"/>
      <c r="G34" s="492"/>
      <c r="H34" s="492"/>
      <c r="I34" s="493"/>
      <c r="J34" s="53" t="str">
        <f>IF(AND('Mapa final'!$AD$60="Media",'Mapa final'!$AF$60="Leve"),CONCATENATE("R9C",'Mapa final'!$T$60),"")</f>
        <v/>
      </c>
      <c r="K34" s="54" t="str">
        <f>IF(AND('Mapa final'!$AD$61="Media",'Mapa final'!$AF$61="Leve"),CONCATENATE("R9C",'Mapa final'!$T$61),"")</f>
        <v/>
      </c>
      <c r="L34" s="54" t="str">
        <f>IF(AND('Mapa final'!$AD$62="Media",'Mapa final'!$AF$62="Leve"),CONCATENATE("R9C",'Mapa final'!$T$62),"")</f>
        <v/>
      </c>
      <c r="M34" s="54" t="str">
        <f>IF(AND('Mapa final'!$AD$63="Media",'Mapa final'!$AF$63="Leve"),CONCATENATE("R9C",'Mapa final'!$T$63),"")</f>
        <v/>
      </c>
      <c r="N34" s="54" t="str">
        <f>IF(AND('Mapa final'!$AD$64="Media",'Mapa final'!$AF$64="Leve"),CONCATENATE("R9C",'Mapa final'!$T$64),"")</f>
        <v/>
      </c>
      <c r="O34" s="55" t="str">
        <f>IF(AND('Mapa final'!$AD$65="Media",'Mapa final'!$AF$65="Leve"),CONCATENATE("R9C",'Mapa final'!$T$65),"")</f>
        <v/>
      </c>
      <c r="P34" s="53" t="str">
        <f>IF(AND('Mapa final'!$AD$60="Media",'Mapa final'!$AF$60="Menor"),CONCATENATE("R9C",'Mapa final'!$T$60),"")</f>
        <v/>
      </c>
      <c r="Q34" s="54" t="str">
        <f>IF(AND('Mapa final'!$AD$61="Media",'Mapa final'!$AF$61="Menor"),CONCATENATE("R9C",'Mapa final'!$T$61),"")</f>
        <v/>
      </c>
      <c r="R34" s="54" t="str">
        <f>IF(AND('Mapa final'!$AD$62="Media",'Mapa final'!$AF$62="Menor"),CONCATENATE("R9C",'Mapa final'!$T$62),"")</f>
        <v/>
      </c>
      <c r="S34" s="54" t="str">
        <f>IF(AND('Mapa final'!$AD$63="Media",'Mapa final'!$AF$63="Menor"),CONCATENATE("R9C",'Mapa final'!$T$63),"")</f>
        <v/>
      </c>
      <c r="T34" s="54" t="str">
        <f>IF(AND('Mapa final'!$AD$64="Media",'Mapa final'!$AF$64="Menor"),CONCATENATE("R9C",'Mapa final'!$T$64),"")</f>
        <v/>
      </c>
      <c r="U34" s="55" t="str">
        <f>IF(AND('Mapa final'!$AD$65="Media",'Mapa final'!$AF$65="Menor"),CONCATENATE("R9C",'Mapa final'!$T$65),"")</f>
        <v/>
      </c>
      <c r="V34" s="53" t="str">
        <f>IF(AND('Mapa final'!$AD$60="Media",'Mapa final'!$AF$60="Moderado"),CONCATENATE("R9C",'Mapa final'!$T$60),"")</f>
        <v/>
      </c>
      <c r="W34" s="54" t="str">
        <f>IF(AND('Mapa final'!$AD$61="Media",'Mapa final'!$AF$61="Moderado"),CONCATENATE("R9C",'Mapa final'!$T$61),"")</f>
        <v/>
      </c>
      <c r="X34" s="54" t="str">
        <f>IF(AND('Mapa final'!$AD$62="Media",'Mapa final'!$AF$62="Moderado"),CONCATENATE("R9C",'Mapa final'!$T$62),"")</f>
        <v/>
      </c>
      <c r="Y34" s="54" t="str">
        <f>IF(AND('Mapa final'!$AD$63="Media",'Mapa final'!$AF$63="Moderado"),CONCATENATE("R9C",'Mapa final'!$T$63),"")</f>
        <v/>
      </c>
      <c r="Z34" s="54" t="str">
        <f>IF(AND('Mapa final'!$AD$64="Media",'Mapa final'!$AF$64="Moderado"),CONCATENATE("R9C",'Mapa final'!$T$64),"")</f>
        <v/>
      </c>
      <c r="AA34" s="55" t="str">
        <f>IF(AND('Mapa final'!$AD$65="Media",'Mapa final'!$AF$65="Moderado"),CONCATENATE("R9C",'Mapa final'!$T$65),"")</f>
        <v/>
      </c>
      <c r="AB34" s="38" t="str">
        <f>IF(AND('Mapa final'!$AD$60="Media",'Mapa final'!$AF$60="Mayor"),CONCATENATE("R9C",'Mapa final'!$T$60),"")</f>
        <v/>
      </c>
      <c r="AC34" s="39" t="str">
        <f>IF(AND('Mapa final'!$AD$61="Media",'Mapa final'!$AF$61="Mayor"),CONCATENATE("R9C",'Mapa final'!$T$61),"")</f>
        <v/>
      </c>
      <c r="AD34" s="39" t="str">
        <f>IF(AND('Mapa final'!$AD$62="Media",'Mapa final'!$AF$62="Mayor"),CONCATENATE("R9C",'Mapa final'!$T$62),"")</f>
        <v/>
      </c>
      <c r="AE34" s="39" t="str">
        <f>IF(AND('Mapa final'!$AD$63="Media",'Mapa final'!$AF$63="Mayor"),CONCATENATE("R9C",'Mapa final'!$T$63),"")</f>
        <v/>
      </c>
      <c r="AF34" s="39" t="str">
        <f>IF(AND('Mapa final'!$AD$64="Media",'Mapa final'!$AF$64="Mayor"),CONCATENATE("R9C",'Mapa final'!$T$64),"")</f>
        <v/>
      </c>
      <c r="AG34" s="40" t="str">
        <f>IF(AND('Mapa final'!$AD$65="Media",'Mapa final'!$AF$65="Mayor"),CONCATENATE("R9C",'Mapa final'!$T$65),"")</f>
        <v/>
      </c>
      <c r="AH34" s="41" t="str">
        <f>IF(AND('Mapa final'!$AD$60="Media",'Mapa final'!$AF$60="Catastrófico"),CONCATENATE("R9C",'Mapa final'!$T$60),"")</f>
        <v/>
      </c>
      <c r="AI34" s="42" t="str">
        <f>IF(AND('Mapa final'!$AD$61="Media",'Mapa final'!$AF$61="Catastrófico"),CONCATENATE("R9C",'Mapa final'!$T$61),"")</f>
        <v/>
      </c>
      <c r="AJ34" s="42" t="str">
        <f>IF(AND('Mapa final'!$AD$62="Media",'Mapa final'!$AF$62="Catastrófico"),CONCATENATE("R9C",'Mapa final'!$T$62),"")</f>
        <v/>
      </c>
      <c r="AK34" s="42" t="str">
        <f>IF(AND('Mapa final'!$AD$63="Media",'Mapa final'!$AF$63="Catastrófico"),CONCATENATE("R9C",'Mapa final'!$T$63),"")</f>
        <v/>
      </c>
      <c r="AL34" s="42" t="str">
        <f>IF(AND('Mapa final'!$AD$64="Media",'Mapa final'!$AF$64="Catastrófico"),CONCATENATE("R9C",'Mapa final'!$T$64),"")</f>
        <v/>
      </c>
      <c r="AM34" s="43" t="str">
        <f>IF(AND('Mapa final'!$AD$65="Media",'Mapa final'!$AF$65="Catastrófico"),CONCATENATE("R9C",'Mapa final'!$T$65),"")</f>
        <v/>
      </c>
      <c r="AN34" s="69"/>
      <c r="AO34" s="531"/>
      <c r="AP34" s="532"/>
      <c r="AQ34" s="532"/>
      <c r="AR34" s="532"/>
      <c r="AS34" s="532"/>
      <c r="AT34" s="533"/>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450"/>
      <c r="C35" s="450"/>
      <c r="D35" s="451"/>
      <c r="E35" s="494"/>
      <c r="F35" s="495"/>
      <c r="G35" s="495"/>
      <c r="H35" s="495"/>
      <c r="I35" s="496"/>
      <c r="J35" s="53" t="str">
        <f>IF(AND('Mapa final'!$AD$66="Media",'Mapa final'!$AF$66="Leve"),CONCATENATE("R10C",'Mapa final'!$T$66),"")</f>
        <v/>
      </c>
      <c r="K35" s="54" t="str">
        <f>IF(AND('Mapa final'!$AD$67="Media",'Mapa final'!$AF$67="Leve"),CONCATENATE("R10C",'Mapa final'!$T$67),"")</f>
        <v/>
      </c>
      <c r="L35" s="54" t="str">
        <f>IF(AND('Mapa final'!$AD$68="Media",'Mapa final'!$AF$68="Leve"),CONCATENATE("R10C",'Mapa final'!$T$68),"")</f>
        <v/>
      </c>
      <c r="M35" s="54" t="str">
        <f>IF(AND('Mapa final'!$AD$69="Media",'Mapa final'!$AF$69="Leve"),CONCATENATE("R10C",'Mapa final'!$T$69),"")</f>
        <v/>
      </c>
      <c r="N35" s="54" t="str">
        <f>IF(AND('Mapa final'!$AD$70="Media",'Mapa final'!$AF$70="Leve"),CONCATENATE("R10C",'Mapa final'!$T$70),"")</f>
        <v/>
      </c>
      <c r="O35" s="55" t="str">
        <f>IF(AND('Mapa final'!$AD$71="Media",'Mapa final'!$AF$71="Leve"),CONCATENATE("R10C",'Mapa final'!$T$71),"")</f>
        <v/>
      </c>
      <c r="P35" s="53" t="str">
        <f>IF(AND('Mapa final'!$AD$66="Media",'Mapa final'!$AF$66="Menor"),CONCATENATE("R10C",'Mapa final'!$T$66),"")</f>
        <v/>
      </c>
      <c r="Q35" s="54" t="str">
        <f>IF(AND('Mapa final'!$AD$67="Media",'Mapa final'!$AF$67="Menor"),CONCATENATE("R10C",'Mapa final'!$T$67),"")</f>
        <v/>
      </c>
      <c r="R35" s="54" t="str">
        <f>IF(AND('Mapa final'!$AD$68="Media",'Mapa final'!$AF$68="Menor"),CONCATENATE("R10C",'Mapa final'!$T$68),"")</f>
        <v/>
      </c>
      <c r="S35" s="54" t="str">
        <f>IF(AND('Mapa final'!$AD$69="Media",'Mapa final'!$AF$69="Menor"),CONCATENATE("R10C",'Mapa final'!$T$69),"")</f>
        <v/>
      </c>
      <c r="T35" s="54" t="str">
        <f>IF(AND('Mapa final'!$AD$70="Media",'Mapa final'!$AF$70="Menor"),CONCATENATE("R10C",'Mapa final'!$T$70),"")</f>
        <v/>
      </c>
      <c r="U35" s="55" t="str">
        <f>IF(AND('Mapa final'!$AD$71="Media",'Mapa final'!$AF$71="Menor"),CONCATENATE("R10C",'Mapa final'!$T$71),"")</f>
        <v/>
      </c>
      <c r="V35" s="53" t="str">
        <f>IF(AND('Mapa final'!$AD$66="Media",'Mapa final'!$AF$66="Moderado"),CONCATENATE("R10C",'Mapa final'!$T$66),"")</f>
        <v/>
      </c>
      <c r="W35" s="54" t="str">
        <f>IF(AND('Mapa final'!$AD$67="Media",'Mapa final'!$AF$67="Moderado"),CONCATENATE("R10C",'Mapa final'!$T$67),"")</f>
        <v/>
      </c>
      <c r="X35" s="54" t="str">
        <f>IF(AND('Mapa final'!$AD$68="Media",'Mapa final'!$AF$68="Moderado"),CONCATENATE("R10C",'Mapa final'!$T$68),"")</f>
        <v/>
      </c>
      <c r="Y35" s="54" t="str">
        <f>IF(AND('Mapa final'!$AD$69="Media",'Mapa final'!$AF$69="Moderado"),CONCATENATE("R10C",'Mapa final'!$T$69),"")</f>
        <v/>
      </c>
      <c r="Z35" s="54" t="str">
        <f>IF(AND('Mapa final'!$AD$70="Media",'Mapa final'!$AF$70="Moderado"),CONCATENATE("R10C",'Mapa final'!$T$70),"")</f>
        <v/>
      </c>
      <c r="AA35" s="55" t="str">
        <f>IF(AND('Mapa final'!$AD$71="Media",'Mapa final'!$AF$71="Moderado"),CONCATENATE("R10C",'Mapa final'!$T$71),"")</f>
        <v/>
      </c>
      <c r="AB35" s="44" t="str">
        <f>IF(AND('Mapa final'!$AD$66="Media",'Mapa final'!$AF$66="Mayor"),CONCATENATE("R10C",'Mapa final'!$T$66),"")</f>
        <v/>
      </c>
      <c r="AC35" s="45" t="str">
        <f>IF(AND('Mapa final'!$AD$67="Media",'Mapa final'!$AF$67="Mayor"),CONCATENATE("R10C",'Mapa final'!$T$67),"")</f>
        <v/>
      </c>
      <c r="AD35" s="45" t="str">
        <f>IF(AND('Mapa final'!$AD$68="Media",'Mapa final'!$AF$68="Mayor"),CONCATENATE("R10C",'Mapa final'!$T$68),"")</f>
        <v/>
      </c>
      <c r="AE35" s="45" t="str">
        <f>IF(AND('Mapa final'!$AD$69="Media",'Mapa final'!$AF$69="Mayor"),CONCATENATE("R10C",'Mapa final'!$T$69),"")</f>
        <v/>
      </c>
      <c r="AF35" s="45" t="str">
        <f>IF(AND('Mapa final'!$AD$70="Media",'Mapa final'!$AF$70="Mayor"),CONCATENATE("R10C",'Mapa final'!$T$70),"")</f>
        <v/>
      </c>
      <c r="AG35" s="46" t="str">
        <f>IF(AND('Mapa final'!$AD$71="Media",'Mapa final'!$AF$71="Mayor"),CONCATENATE("R10C",'Mapa final'!$T$71),"")</f>
        <v/>
      </c>
      <c r="AH35" s="47" t="str">
        <f>IF(AND('Mapa final'!$AD$66="Media",'Mapa final'!$AF$66="Catastrófico"),CONCATENATE("R10C",'Mapa final'!$T$66),"")</f>
        <v/>
      </c>
      <c r="AI35" s="48" t="str">
        <f>IF(AND('Mapa final'!$AD$67="Media",'Mapa final'!$AF$67="Catastrófico"),CONCATENATE("R10C",'Mapa final'!$T$67),"")</f>
        <v/>
      </c>
      <c r="AJ35" s="48" t="str">
        <f>IF(AND('Mapa final'!$AD$68="Media",'Mapa final'!$AF$68="Catastrófico"),CONCATENATE("R10C",'Mapa final'!$T$68),"")</f>
        <v/>
      </c>
      <c r="AK35" s="48" t="str">
        <f>IF(AND('Mapa final'!$AD$69="Media",'Mapa final'!$AF$69="Catastrófico"),CONCATENATE("R10C",'Mapa final'!$T$69),"")</f>
        <v/>
      </c>
      <c r="AL35" s="48" t="str">
        <f>IF(AND('Mapa final'!$AD$70="Media",'Mapa final'!$AF$70="Catastrófico"),CONCATENATE("R10C",'Mapa final'!$T$70),"")</f>
        <v/>
      </c>
      <c r="AM35" s="49" t="str">
        <f>IF(AND('Mapa final'!$AD$71="Media",'Mapa final'!$AF$71="Catastrófico"),CONCATENATE("R10C",'Mapa final'!$T$71),"")</f>
        <v/>
      </c>
      <c r="AN35" s="69"/>
      <c r="AO35" s="534"/>
      <c r="AP35" s="535"/>
      <c r="AQ35" s="535"/>
      <c r="AR35" s="535"/>
      <c r="AS35" s="535"/>
      <c r="AT35" s="536"/>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450"/>
      <c r="C36" s="450"/>
      <c r="D36" s="451"/>
      <c r="E36" s="488" t="s">
        <v>114</v>
      </c>
      <c r="F36" s="489"/>
      <c r="G36" s="489"/>
      <c r="H36" s="489"/>
      <c r="I36" s="489"/>
      <c r="J36" s="59" t="str">
        <f>IF(AND('Mapa final'!$AD$12="Baja",'Mapa final'!$AF$12="Leve"),CONCATENATE("R1C",'Mapa final'!$T$12),"")</f>
        <v/>
      </c>
      <c r="K36" s="60" t="str">
        <f>IF(AND('Mapa final'!$AD$13="Baja",'Mapa final'!$AF$13="Leve"),CONCATENATE("R1C",'Mapa final'!$T$13),"")</f>
        <v/>
      </c>
      <c r="L36" s="60" t="str">
        <f>IF(AND('Mapa final'!$AD$14="Baja",'Mapa final'!$AF$14="Leve"),CONCATENATE("R1C",'Mapa final'!$T$14),"")</f>
        <v/>
      </c>
      <c r="M36" s="60" t="str">
        <f>IF(AND('Mapa final'!$AD$15="Baja",'Mapa final'!$AF$15="Leve"),CONCATENATE("R1C",'Mapa final'!$T$15),"")</f>
        <v/>
      </c>
      <c r="N36" s="60" t="str">
        <f>IF(AND('Mapa final'!$AD$16="Baja",'Mapa final'!$AF$16="Leve"),CONCATENATE("R1C",'Mapa final'!$T$16),"")</f>
        <v/>
      </c>
      <c r="O36" s="61" t="str">
        <f>IF(AND('Mapa final'!$AD$17="Baja",'Mapa final'!$AF$17="Leve"),CONCATENATE("R1C",'Mapa final'!$T$17),"")</f>
        <v/>
      </c>
      <c r="P36" s="50" t="str">
        <f>IF(AND('Mapa final'!$AD$12="Baja",'Mapa final'!$AF$12="Menor"),CONCATENATE("R1C",'Mapa final'!$T$12),"")</f>
        <v/>
      </c>
      <c r="Q36" s="51" t="str">
        <f>IF(AND('Mapa final'!$AD$13="Baja",'Mapa final'!$AF$13="Menor"),CONCATENATE("R1C",'Mapa final'!$T$13),"")</f>
        <v/>
      </c>
      <c r="R36" s="51" t="str">
        <f>IF(AND('Mapa final'!$AD$14="Baja",'Mapa final'!$AF$14="Menor"),CONCATENATE("R1C",'Mapa final'!$T$14),"")</f>
        <v/>
      </c>
      <c r="S36" s="51" t="str">
        <f>IF(AND('Mapa final'!$AD$15="Baja",'Mapa final'!$AF$15="Menor"),CONCATENATE("R1C",'Mapa final'!$T$15),"")</f>
        <v/>
      </c>
      <c r="T36" s="51" t="str">
        <f>IF(AND('Mapa final'!$AD$16="Baja",'Mapa final'!$AF$16="Menor"),CONCATENATE("R1C",'Mapa final'!$T$16),"")</f>
        <v/>
      </c>
      <c r="U36" s="52" t="str">
        <f>IF(AND('Mapa final'!$AD$17="Baja",'Mapa final'!$AF$17="Menor"),CONCATENATE("R1C",'Mapa final'!$T$17),"")</f>
        <v/>
      </c>
      <c r="V36" s="50" t="str">
        <f>IF(AND('Mapa final'!$AD$12="Baja",'Mapa final'!$AF$12="Moderado"),CONCATENATE("R1C",'Mapa final'!$T$12),"")</f>
        <v/>
      </c>
      <c r="W36" s="51" t="str">
        <f>IF(AND('Mapa final'!$AD$13="Baja",'Mapa final'!$AF$13="Moderado"),CONCATENATE("R1C",'Mapa final'!$T$13),"")</f>
        <v/>
      </c>
      <c r="X36" s="51" t="str">
        <f>IF(AND('Mapa final'!$AD$14="Baja",'Mapa final'!$AF$14="Moderado"),CONCATENATE("R1C",'Mapa final'!$T$14),"")</f>
        <v/>
      </c>
      <c r="Y36" s="51" t="str">
        <f>IF(AND('Mapa final'!$AD$15="Baja",'Mapa final'!$AF$15="Moderado"),CONCATENATE("R1C",'Mapa final'!$T$15),"")</f>
        <v/>
      </c>
      <c r="Z36" s="51" t="str">
        <f>IF(AND('Mapa final'!$AD$16="Baja",'Mapa final'!$AF$16="Moderado"),CONCATENATE("R1C",'Mapa final'!$T$16),"")</f>
        <v/>
      </c>
      <c r="AA36" s="52" t="str">
        <f>IF(AND('Mapa final'!$AD$17="Baja",'Mapa final'!$AF$17="Moderado"),CONCATENATE("R1C",'Mapa final'!$T$17),"")</f>
        <v/>
      </c>
      <c r="AB36" s="32" t="str">
        <f>IF(AND('Mapa final'!$AD$12="Baja",'Mapa final'!$AF$12="Mayor"),CONCATENATE("R1C",'Mapa final'!$T$12),"")</f>
        <v>R1C1</v>
      </c>
      <c r="AC36" s="33" t="str">
        <f>IF(AND('Mapa final'!$AD$13="Baja",'Mapa final'!$AF$13="Mayor"),CONCATENATE("R1C",'Mapa final'!$T$13),"")</f>
        <v/>
      </c>
      <c r="AD36" s="33" t="str">
        <f>IF(AND('Mapa final'!$AD$14="Baja",'Mapa final'!$AF$14="Mayor"),CONCATENATE("R1C",'Mapa final'!$T$14),"")</f>
        <v/>
      </c>
      <c r="AE36" s="33" t="str">
        <f>IF(AND('Mapa final'!$AD$15="Baja",'Mapa final'!$AF$15="Mayor"),CONCATENATE("R1C",'Mapa final'!$T$15),"")</f>
        <v/>
      </c>
      <c r="AF36" s="33" t="str">
        <f>IF(AND('Mapa final'!$AD$16="Baja",'Mapa final'!$AF$16="Mayor"),CONCATENATE("R1C",'Mapa final'!$T$16),"")</f>
        <v/>
      </c>
      <c r="AG36" s="34" t="str">
        <f>IF(AND('Mapa final'!$AD$17="Baja",'Mapa final'!$AF$17="Mayor"),CONCATENATE("R1C",'Mapa final'!$T$17),"")</f>
        <v/>
      </c>
      <c r="AH36" s="35" t="str">
        <f>IF(AND('Mapa final'!$AD$12="Baja",'Mapa final'!$AF$12="Catastrófico"),CONCATENATE("R1C",'Mapa final'!$T$12),"")</f>
        <v/>
      </c>
      <c r="AI36" s="36" t="str">
        <f>IF(AND('Mapa final'!$AD$13="Baja",'Mapa final'!$AF$13="Catastrófico"),CONCATENATE("R1C",'Mapa final'!$T$13),"")</f>
        <v/>
      </c>
      <c r="AJ36" s="36" t="str">
        <f>IF(AND('Mapa final'!$AD$14="Baja",'Mapa final'!$AF$14="Catastrófico"),CONCATENATE("R1C",'Mapa final'!$T$14),"")</f>
        <v/>
      </c>
      <c r="AK36" s="36" t="str">
        <f>IF(AND('Mapa final'!$AD$15="Baja",'Mapa final'!$AF$15="Catastrófico"),CONCATENATE("R1C",'Mapa final'!$T$15),"")</f>
        <v/>
      </c>
      <c r="AL36" s="36" t="str">
        <f>IF(AND('Mapa final'!$AD$16="Baja",'Mapa final'!$AF$16="Catastrófico"),CONCATENATE("R1C",'Mapa final'!$T$16),"")</f>
        <v/>
      </c>
      <c r="AM36" s="37" t="str">
        <f>IF(AND('Mapa final'!$AD$17="Baja",'Mapa final'!$AF$17="Catastrófico"),CONCATENATE("R1C",'Mapa final'!$T$17),"")</f>
        <v/>
      </c>
      <c r="AN36" s="69"/>
      <c r="AO36" s="519" t="s">
        <v>82</v>
      </c>
      <c r="AP36" s="520"/>
      <c r="AQ36" s="520"/>
      <c r="AR36" s="520"/>
      <c r="AS36" s="520"/>
      <c r="AT36" s="521"/>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450"/>
      <c r="C37" s="450"/>
      <c r="D37" s="451"/>
      <c r="E37" s="507"/>
      <c r="F37" s="492"/>
      <c r="G37" s="492"/>
      <c r="H37" s="492"/>
      <c r="I37" s="492"/>
      <c r="J37" s="62" t="str">
        <f>IF(AND('Mapa final'!$AD$18="Baja",'Mapa final'!$AF$18="Leve"),CONCATENATE("R2C",'Mapa final'!$T$18),"")</f>
        <v/>
      </c>
      <c r="K37" s="63" t="str">
        <f>IF(AND('Mapa final'!$AD$19="Baja",'Mapa final'!$AF$19="Leve"),CONCATENATE("R2C",'Mapa final'!$T$19),"")</f>
        <v/>
      </c>
      <c r="L37" s="63" t="str">
        <f>IF(AND('Mapa final'!$AD$20="Baja",'Mapa final'!$AF$20="Leve"),CONCATENATE("R2C",'Mapa final'!$T$20),"")</f>
        <v/>
      </c>
      <c r="M37" s="63" t="str">
        <f>IF(AND('Mapa final'!$AD$21="Baja",'Mapa final'!$AF$21="Leve"),CONCATENATE("R2C",'Mapa final'!$T$21),"")</f>
        <v/>
      </c>
      <c r="N37" s="63" t="str">
        <f>IF(AND('Mapa final'!$AD$22="Baja",'Mapa final'!$AF$22="Leve"),CONCATENATE("R2C",'Mapa final'!$T$22),"")</f>
        <v/>
      </c>
      <c r="O37" s="64" t="str">
        <f>IF(AND('Mapa final'!$AD$23="Baja",'Mapa final'!$AF$23="Leve"),CONCATENATE("R2C",'Mapa final'!$T$23),"")</f>
        <v/>
      </c>
      <c r="P37" s="53" t="str">
        <f>IF(AND('Mapa final'!$AD$18="Baja",'Mapa final'!$AF$18="Menor"),CONCATENATE("R2C",'Mapa final'!$T$18),"")</f>
        <v/>
      </c>
      <c r="Q37" s="54" t="str">
        <f>IF(AND('Mapa final'!$AD$19="Baja",'Mapa final'!$AF$19="Menor"),CONCATENATE("R2C",'Mapa final'!$T$19),"")</f>
        <v/>
      </c>
      <c r="R37" s="54" t="str">
        <f>IF(AND('Mapa final'!$AD$20="Baja",'Mapa final'!$AF$20="Menor"),CONCATENATE("R2C",'Mapa final'!$T$20),"")</f>
        <v/>
      </c>
      <c r="S37" s="54" t="str">
        <f>IF(AND('Mapa final'!$AD$21="Baja",'Mapa final'!$AF$21="Menor"),CONCATENATE("R2C",'Mapa final'!$T$21),"")</f>
        <v/>
      </c>
      <c r="T37" s="54" t="str">
        <f>IF(AND('Mapa final'!$AD$22="Baja",'Mapa final'!$AF$22="Menor"),CONCATENATE("R2C",'Mapa final'!$T$22),"")</f>
        <v/>
      </c>
      <c r="U37" s="55" t="str">
        <f>IF(AND('Mapa final'!$AD$23="Baja",'Mapa final'!$AF$23="Menor"),CONCATENATE("R2C",'Mapa final'!$T$23),"")</f>
        <v/>
      </c>
      <c r="V37" s="53" t="str">
        <f>IF(AND('Mapa final'!$AD$18="Baja",'Mapa final'!$AF$18="Moderado"),CONCATENATE("R2C",'Mapa final'!$T$18),"")</f>
        <v/>
      </c>
      <c r="W37" s="54" t="str">
        <f>IF(AND('Mapa final'!$AD$19="Baja",'Mapa final'!$AF$19="Moderado"),CONCATENATE("R2C",'Mapa final'!$T$19),"")</f>
        <v/>
      </c>
      <c r="X37" s="54" t="str">
        <f>IF(AND('Mapa final'!$AD$20="Baja",'Mapa final'!$AF$20="Moderado"),CONCATENATE("R2C",'Mapa final'!$T$20),"")</f>
        <v/>
      </c>
      <c r="Y37" s="54" t="str">
        <f>IF(AND('Mapa final'!$AD$21="Baja",'Mapa final'!$AF$21="Moderado"),CONCATENATE("R2C",'Mapa final'!$T$21),"")</f>
        <v/>
      </c>
      <c r="Z37" s="54" t="str">
        <f>IF(AND('Mapa final'!$AD$22="Baja",'Mapa final'!$AF$22="Moderado"),CONCATENATE("R2C",'Mapa final'!$T$22),"")</f>
        <v/>
      </c>
      <c r="AA37" s="55" t="str">
        <f>IF(AND('Mapa final'!$AD$23="Baja",'Mapa final'!$AF$23="Moderado"),CONCATENATE("R2C",'Mapa final'!$T$23),"")</f>
        <v/>
      </c>
      <c r="AB37" s="38" t="str">
        <f>IF(AND('Mapa final'!$AD$18="Baja",'Mapa final'!$AF$18="Mayor"),CONCATENATE("R2C",'Mapa final'!$T$18),"")</f>
        <v/>
      </c>
      <c r="AC37" s="39" t="str">
        <f>IF(AND('Mapa final'!$AD$19="Baja",'Mapa final'!$AF$19="Mayor"),CONCATENATE("R2C",'Mapa final'!$T$19),"")</f>
        <v/>
      </c>
      <c r="AD37" s="39" t="str">
        <f>IF(AND('Mapa final'!$AD$20="Baja",'Mapa final'!$AF$20="Mayor"),CONCATENATE("R2C",'Mapa final'!$T$20),"")</f>
        <v/>
      </c>
      <c r="AE37" s="39" t="str">
        <f>IF(AND('Mapa final'!$AD$21="Baja",'Mapa final'!$AF$21="Mayor"),CONCATENATE("R2C",'Mapa final'!$T$21),"")</f>
        <v/>
      </c>
      <c r="AF37" s="39" t="str">
        <f>IF(AND('Mapa final'!$AD$22="Baja",'Mapa final'!$AF$22="Mayor"),CONCATENATE("R2C",'Mapa final'!$T$22),"")</f>
        <v/>
      </c>
      <c r="AG37" s="40" t="str">
        <f>IF(AND('Mapa final'!$AD$23="Baja",'Mapa final'!$AF$23="Mayor"),CONCATENATE("R2C",'Mapa final'!$T$23),"")</f>
        <v/>
      </c>
      <c r="AH37" s="41" t="str">
        <f>IF(AND('Mapa final'!$AD$18="Baja",'Mapa final'!$AF$18="Catastrófico"),CONCATENATE("R2C",'Mapa final'!$T$18),"")</f>
        <v>R2C1</v>
      </c>
      <c r="AI37" s="42" t="str">
        <f>IF(AND('Mapa final'!$AD$19="Baja",'Mapa final'!$AF$19="Catastrófico"),CONCATENATE("R2C",'Mapa final'!$T$19),"")</f>
        <v>R2C2</v>
      </c>
      <c r="AJ37" s="42" t="str">
        <f>IF(AND('Mapa final'!$AD$20="Baja",'Mapa final'!$AF$20="Catastrófico"),CONCATENATE("R2C",'Mapa final'!$T$20),"")</f>
        <v/>
      </c>
      <c r="AK37" s="42" t="str">
        <f>IF(AND('Mapa final'!$AD$21="Baja",'Mapa final'!$AF$21="Catastrófico"),CONCATENATE("R2C",'Mapa final'!$T$21),"")</f>
        <v/>
      </c>
      <c r="AL37" s="42" t="str">
        <f>IF(AND('Mapa final'!$AD$22="Baja",'Mapa final'!$AF$22="Catastrófico"),CONCATENATE("R2C",'Mapa final'!$T$22),"")</f>
        <v/>
      </c>
      <c r="AM37" s="43" t="str">
        <f>IF(AND('Mapa final'!$AD$23="Baja",'Mapa final'!$AF$23="Catastrófico"),CONCATENATE("R2C",'Mapa final'!$T$23),"")</f>
        <v/>
      </c>
      <c r="AN37" s="69"/>
      <c r="AO37" s="522"/>
      <c r="AP37" s="523"/>
      <c r="AQ37" s="523"/>
      <c r="AR37" s="523"/>
      <c r="AS37" s="523"/>
      <c r="AT37" s="524"/>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450"/>
      <c r="C38" s="450"/>
      <c r="D38" s="451"/>
      <c r="E38" s="491"/>
      <c r="F38" s="492"/>
      <c r="G38" s="492"/>
      <c r="H38" s="492"/>
      <c r="I38" s="492"/>
      <c r="J38" s="62" t="str">
        <f>IF(AND('Mapa final'!$AD$24="Baja",'Mapa final'!$AF$24="Leve"),CONCATENATE("R3C",'Mapa final'!$T$24),"")</f>
        <v/>
      </c>
      <c r="K38" s="63" t="str">
        <f>IF(AND('Mapa final'!$AD$25="Baja",'Mapa final'!$AF$25="Leve"),CONCATENATE("R3C",'Mapa final'!$T$25),"")</f>
        <v/>
      </c>
      <c r="L38" s="63" t="str">
        <f>IF(AND('Mapa final'!$AD$26="Baja",'Mapa final'!$AF$26="Leve"),CONCATENATE("R3C",'Mapa final'!$T$26),"")</f>
        <v/>
      </c>
      <c r="M38" s="63" t="str">
        <f>IF(AND('Mapa final'!$AD$27="Baja",'Mapa final'!$AF$27="Leve"),CONCATENATE("R3C",'Mapa final'!$T$27),"")</f>
        <v/>
      </c>
      <c r="N38" s="63" t="str">
        <f>IF(AND('Mapa final'!$AD$28="Baja",'Mapa final'!$AF$28="Leve"),CONCATENATE("R3C",'Mapa final'!$T$28),"")</f>
        <v/>
      </c>
      <c r="O38" s="64" t="str">
        <f>IF(AND('Mapa final'!$AD$29="Baja",'Mapa final'!$AF$29="Leve"),CONCATENATE("R3C",'Mapa final'!$T$29),"")</f>
        <v/>
      </c>
      <c r="P38" s="53" t="str">
        <f>IF(AND('Mapa final'!$AD$24="Baja",'Mapa final'!$AF$24="Menor"),CONCATENATE("R3C",'Mapa final'!$T$24),"")</f>
        <v/>
      </c>
      <c r="Q38" s="54" t="str">
        <f>IF(AND('Mapa final'!$AD$25="Baja",'Mapa final'!$AF$25="Menor"),CONCATENATE("R3C",'Mapa final'!$T$25),"")</f>
        <v/>
      </c>
      <c r="R38" s="54" t="str">
        <f>IF(AND('Mapa final'!$AD$26="Baja",'Mapa final'!$AF$26="Menor"),CONCATENATE("R3C",'Mapa final'!$T$26),"")</f>
        <v/>
      </c>
      <c r="S38" s="54" t="str">
        <f>IF(AND('Mapa final'!$AD$27="Baja",'Mapa final'!$AF$27="Menor"),CONCATENATE("R3C",'Mapa final'!$T$27),"")</f>
        <v/>
      </c>
      <c r="T38" s="54" t="str">
        <f>IF(AND('Mapa final'!$AD$28="Baja",'Mapa final'!$AF$28="Menor"),CONCATENATE("R3C",'Mapa final'!$T$28),"")</f>
        <v/>
      </c>
      <c r="U38" s="55" t="str">
        <f>IF(AND('Mapa final'!$AD$29="Baja",'Mapa final'!$AF$29="Menor"),CONCATENATE("R3C",'Mapa final'!$T$29),"")</f>
        <v/>
      </c>
      <c r="V38" s="53" t="str">
        <f>IF(AND('Mapa final'!$AD$24="Baja",'Mapa final'!$AF$24="Moderado"),CONCATENATE("R3C",'Mapa final'!$T$24),"")</f>
        <v/>
      </c>
      <c r="W38" s="54" t="str">
        <f>IF(AND('Mapa final'!$AD$25="Baja",'Mapa final'!$AF$25="Moderado"),CONCATENATE("R3C",'Mapa final'!$T$25),"")</f>
        <v/>
      </c>
      <c r="X38" s="54" t="str">
        <f>IF(AND('Mapa final'!$AD$26="Baja",'Mapa final'!$AF$26="Moderado"),CONCATENATE("R3C",'Mapa final'!$T$26),"")</f>
        <v/>
      </c>
      <c r="Y38" s="54" t="str">
        <f>IF(AND('Mapa final'!$AD$27="Baja",'Mapa final'!$AF$27="Moderado"),CONCATENATE("R3C",'Mapa final'!$T$27),"")</f>
        <v/>
      </c>
      <c r="Z38" s="54" t="str">
        <f>IF(AND('Mapa final'!$AD$28="Baja",'Mapa final'!$AF$28="Moderado"),CONCATENATE("R3C",'Mapa final'!$T$28),"")</f>
        <v/>
      </c>
      <c r="AA38" s="55" t="str">
        <f>IF(AND('Mapa final'!$AD$29="Baja",'Mapa final'!$AF$29="Moderado"),CONCATENATE("R3C",'Mapa final'!$T$29),"")</f>
        <v/>
      </c>
      <c r="AB38" s="38" t="str">
        <f>IF(AND('Mapa final'!$AD$24="Baja",'Mapa final'!$AF$24="Mayor"),CONCATENATE("R3C",'Mapa final'!$T$24),"")</f>
        <v/>
      </c>
      <c r="AC38" s="39" t="str">
        <f>IF(AND('Mapa final'!$AD$25="Baja",'Mapa final'!$AF$25="Mayor"),CONCATENATE("R3C",'Mapa final'!$T$25),"")</f>
        <v/>
      </c>
      <c r="AD38" s="39" t="str">
        <f>IF(AND('Mapa final'!$AD$26="Baja",'Mapa final'!$AF$26="Mayor"),CONCATENATE("R3C",'Mapa final'!$T$26),"")</f>
        <v/>
      </c>
      <c r="AE38" s="39" t="str">
        <f>IF(AND('Mapa final'!$AD$27="Baja",'Mapa final'!$AF$27="Mayor"),CONCATENATE("R3C",'Mapa final'!$T$27),"")</f>
        <v>R3C4</v>
      </c>
      <c r="AF38" s="39" t="str">
        <f>IF(AND('Mapa final'!$AD$28="Baja",'Mapa final'!$AF$28="Mayor"),CONCATENATE("R3C",'Mapa final'!$T$28),"")</f>
        <v/>
      </c>
      <c r="AG38" s="40" t="str">
        <f>IF(AND('Mapa final'!$AD$29="Baja",'Mapa final'!$AF$29="Mayor"),CONCATENATE("R3C",'Mapa final'!$T$29),"")</f>
        <v/>
      </c>
      <c r="AH38" s="41" t="str">
        <f>IF(AND('Mapa final'!$AD$24="Baja",'Mapa final'!$AF$24="Catastrófico"),CONCATENATE("R3C",'Mapa final'!$T$24),"")</f>
        <v/>
      </c>
      <c r="AI38" s="42" t="str">
        <f>IF(AND('Mapa final'!$AD$25="Baja",'Mapa final'!$AF$25="Catastrófico"),CONCATENATE("R3C",'Mapa final'!$T$25),"")</f>
        <v>R3C2</v>
      </c>
      <c r="AJ38" s="42" t="str">
        <f>IF(AND('Mapa final'!$AD$26="Baja",'Mapa final'!$AF$26="Catastrófico"),CONCATENATE("R3C",'Mapa final'!$T$26),"")</f>
        <v>R3C3</v>
      </c>
      <c r="AK38" s="42" t="str">
        <f>IF(AND('Mapa final'!$AD$27="Baja",'Mapa final'!$AF$27="Catastrófico"),CONCATENATE("R3C",'Mapa final'!$T$27),"")</f>
        <v/>
      </c>
      <c r="AL38" s="42" t="str">
        <f>IF(AND('Mapa final'!$AD$28="Baja",'Mapa final'!$AF$28="Catastrófico"),CONCATENATE("R3C",'Mapa final'!$T$28),"")</f>
        <v/>
      </c>
      <c r="AM38" s="43" t="str">
        <f>IF(AND('Mapa final'!$AD$29="Baja",'Mapa final'!$AF$29="Catastrófico"),CONCATENATE("R3C",'Mapa final'!$T$29),"")</f>
        <v/>
      </c>
      <c r="AN38" s="69"/>
      <c r="AO38" s="522"/>
      <c r="AP38" s="523"/>
      <c r="AQ38" s="523"/>
      <c r="AR38" s="523"/>
      <c r="AS38" s="523"/>
      <c r="AT38" s="524"/>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450"/>
      <c r="C39" s="450"/>
      <c r="D39" s="451"/>
      <c r="E39" s="491"/>
      <c r="F39" s="492"/>
      <c r="G39" s="492"/>
      <c r="H39" s="492"/>
      <c r="I39" s="492"/>
      <c r="J39" s="62" t="str">
        <f>IF(AND('Mapa final'!$AD$30="Baja",'Mapa final'!$AF$30="Leve"),CONCATENATE("R4C",'Mapa final'!$T$30),"")</f>
        <v/>
      </c>
      <c r="K39" s="63" t="str">
        <f>IF(AND('Mapa final'!$AD$31="Baja",'Mapa final'!$AF$31="Leve"),CONCATENATE("R4C",'Mapa final'!$T$31),"")</f>
        <v/>
      </c>
      <c r="L39" s="63" t="str">
        <f>IF(AND('Mapa final'!$AD$32="Baja",'Mapa final'!$AF$32="Leve"),CONCATENATE("R4C",'Mapa final'!$T$32),"")</f>
        <v/>
      </c>
      <c r="M39" s="63" t="str">
        <f>IF(AND('Mapa final'!$AD$33="Baja",'Mapa final'!$AF$33="Leve"),CONCATENATE("R4C",'Mapa final'!$T$33),"")</f>
        <v/>
      </c>
      <c r="N39" s="63" t="str">
        <f>IF(AND('Mapa final'!$AD$34="Baja",'Mapa final'!$AF$34="Leve"),CONCATENATE("R4C",'Mapa final'!$T$34),"")</f>
        <v/>
      </c>
      <c r="O39" s="64" t="str">
        <f>IF(AND('Mapa final'!$AD$35="Baja",'Mapa final'!$AF$35="Leve"),CONCATENATE("R4C",'Mapa final'!$T$35),"")</f>
        <v/>
      </c>
      <c r="P39" s="53" t="str">
        <f>IF(AND('Mapa final'!$AD$30="Baja",'Mapa final'!$AF$30="Menor"),CONCATENATE("R4C",'Mapa final'!$T$30),"")</f>
        <v/>
      </c>
      <c r="Q39" s="54" t="str">
        <f>IF(AND('Mapa final'!$AD$31="Baja",'Mapa final'!$AF$31="Menor"),CONCATENATE("R4C",'Mapa final'!$T$31),"")</f>
        <v/>
      </c>
      <c r="R39" s="54" t="str">
        <f>IF(AND('Mapa final'!$AD$32="Baja",'Mapa final'!$AF$32="Menor"),CONCATENATE("R4C",'Mapa final'!$T$32),"")</f>
        <v/>
      </c>
      <c r="S39" s="54" t="str">
        <f>IF(AND('Mapa final'!$AD$33="Baja",'Mapa final'!$AF$33="Menor"),CONCATENATE("R4C",'Mapa final'!$T$33),"")</f>
        <v/>
      </c>
      <c r="T39" s="54" t="str">
        <f>IF(AND('Mapa final'!$AD$34="Baja",'Mapa final'!$AF$34="Menor"),CONCATENATE("R4C",'Mapa final'!$T$34),"")</f>
        <v/>
      </c>
      <c r="U39" s="55" t="str">
        <f>IF(AND('Mapa final'!$AD$35="Baja",'Mapa final'!$AF$35="Menor"),CONCATENATE("R4C",'Mapa final'!$T$35),"")</f>
        <v/>
      </c>
      <c r="V39" s="53" t="str">
        <f>IF(AND('Mapa final'!$AD$30="Baja",'Mapa final'!$AF$30="Moderado"),CONCATENATE("R4C",'Mapa final'!$T$30),"")</f>
        <v/>
      </c>
      <c r="W39" s="54" t="str">
        <f>IF(AND('Mapa final'!$AD$31="Baja",'Mapa final'!$AF$31="Moderado"),CONCATENATE("R4C",'Mapa final'!$T$31),"")</f>
        <v/>
      </c>
      <c r="X39" s="54" t="str">
        <f>IF(AND('Mapa final'!$AD$32="Baja",'Mapa final'!$AF$32="Moderado"),CONCATENATE("R4C",'Mapa final'!$T$32),"")</f>
        <v/>
      </c>
      <c r="Y39" s="54" t="str">
        <f>IF(AND('Mapa final'!$AD$33="Baja",'Mapa final'!$AF$33="Moderado"),CONCATENATE("R4C",'Mapa final'!$T$33),"")</f>
        <v/>
      </c>
      <c r="Z39" s="54" t="str">
        <f>IF(AND('Mapa final'!$AD$34="Baja",'Mapa final'!$AF$34="Moderado"),CONCATENATE("R4C",'Mapa final'!$T$34),"")</f>
        <v/>
      </c>
      <c r="AA39" s="55" t="str">
        <f>IF(AND('Mapa final'!$AD$35="Baja",'Mapa final'!$AF$35="Moderado"),CONCATENATE("R4C",'Mapa final'!$T$35),"")</f>
        <v/>
      </c>
      <c r="AB39" s="38" t="str">
        <f>IF(AND('Mapa final'!$AD$30="Baja",'Mapa final'!$AF$30="Mayor"),CONCATENATE("R4C",'Mapa final'!$T$30),"")</f>
        <v>R4C1</v>
      </c>
      <c r="AC39" s="39" t="str">
        <f>IF(AND('Mapa final'!$AD$31="Baja",'Mapa final'!$AF$31="Mayor"),CONCATENATE("R4C",'Mapa final'!$T$31),"")</f>
        <v/>
      </c>
      <c r="AD39" s="39" t="str">
        <f>IF(AND('Mapa final'!$AD$32="Baja",'Mapa final'!$AF$32="Mayor"),CONCATENATE("R4C",'Mapa final'!$T$32),"")</f>
        <v/>
      </c>
      <c r="AE39" s="39" t="str">
        <f>IF(AND('Mapa final'!$AD$33="Baja",'Mapa final'!$AF$33="Mayor"),CONCATENATE("R4C",'Mapa final'!$T$33),"")</f>
        <v/>
      </c>
      <c r="AF39" s="39" t="str">
        <f>IF(AND('Mapa final'!$AD$34="Baja",'Mapa final'!$AF$34="Mayor"),CONCATENATE("R4C",'Mapa final'!$T$34),"")</f>
        <v/>
      </c>
      <c r="AG39" s="40" t="str">
        <f>IF(AND('Mapa final'!$AD$35="Baja",'Mapa final'!$AF$35="Mayor"),CONCATENATE("R4C",'Mapa final'!$T$35),"")</f>
        <v/>
      </c>
      <c r="AH39" s="41" t="str">
        <f>IF(AND('Mapa final'!$AD$30="Baja",'Mapa final'!$AF$30="Catastrófico"),CONCATENATE("R4C",'Mapa final'!$T$30),"")</f>
        <v/>
      </c>
      <c r="AI39" s="42" t="str">
        <f>IF(AND('Mapa final'!$AD$31="Baja",'Mapa final'!$AF$31="Catastrófico"),CONCATENATE("R4C",'Mapa final'!$T$31),"")</f>
        <v/>
      </c>
      <c r="AJ39" s="42" t="str">
        <f>IF(AND('Mapa final'!$AD$32="Baja",'Mapa final'!$AF$32="Catastrófico"),CONCATENATE("R4C",'Mapa final'!$T$32),"")</f>
        <v/>
      </c>
      <c r="AK39" s="42" t="str">
        <f>IF(AND('Mapa final'!$AD$33="Baja",'Mapa final'!$AF$33="Catastrófico"),CONCATENATE("R4C",'Mapa final'!$T$33),"")</f>
        <v/>
      </c>
      <c r="AL39" s="42" t="str">
        <f>IF(AND('Mapa final'!$AD$34="Baja",'Mapa final'!$AF$34="Catastrófico"),CONCATENATE("R4C",'Mapa final'!$T$34),"")</f>
        <v/>
      </c>
      <c r="AM39" s="43" t="str">
        <f>IF(AND('Mapa final'!$AD$35="Baja",'Mapa final'!$AF$35="Catastrófico"),CONCATENATE("R4C",'Mapa final'!$T$35),"")</f>
        <v/>
      </c>
      <c r="AN39" s="69"/>
      <c r="AO39" s="522"/>
      <c r="AP39" s="523"/>
      <c r="AQ39" s="523"/>
      <c r="AR39" s="523"/>
      <c r="AS39" s="523"/>
      <c r="AT39" s="524"/>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450"/>
      <c r="C40" s="450"/>
      <c r="D40" s="451"/>
      <c r="E40" s="491"/>
      <c r="F40" s="492"/>
      <c r="G40" s="492"/>
      <c r="H40" s="492"/>
      <c r="I40" s="492"/>
      <c r="J40" s="62" t="str">
        <f>IF(AND('Mapa final'!$AD$36="Baja",'Mapa final'!$AF$36="Leve"),CONCATENATE("R5C",'Mapa final'!$T$36),"")</f>
        <v/>
      </c>
      <c r="K40" s="63" t="str">
        <f>IF(AND('Mapa final'!$AD$37="Baja",'Mapa final'!$AF$37="Leve"),CONCATENATE("R5C",'Mapa final'!$T$37),"")</f>
        <v/>
      </c>
      <c r="L40" s="63" t="str">
        <f>IF(AND('Mapa final'!$AD$38="Baja",'Mapa final'!$AF$38="Leve"),CONCATENATE("R5C",'Mapa final'!$T$38),"")</f>
        <v/>
      </c>
      <c r="M40" s="63" t="str">
        <f>IF(AND('Mapa final'!$AD$39="Baja",'Mapa final'!$AF$39="Leve"),CONCATENATE("R5C",'Mapa final'!$T$39),"")</f>
        <v/>
      </c>
      <c r="N40" s="63" t="str">
        <f>IF(AND('Mapa final'!$AD$40="Baja",'Mapa final'!$AF$40="Leve"),CONCATENATE("R5C",'Mapa final'!$T$40),"")</f>
        <v/>
      </c>
      <c r="O40" s="64" t="str">
        <f>IF(AND('Mapa final'!$AD$41="Baja",'Mapa final'!$AF$41="Leve"),CONCATENATE("R5C",'Mapa final'!$T$41),"")</f>
        <v/>
      </c>
      <c r="P40" s="53" t="str">
        <f>IF(AND('Mapa final'!$AD$36="Baja",'Mapa final'!$AF$36="Menor"),CONCATENATE("R5C",'Mapa final'!$T$36),"")</f>
        <v/>
      </c>
      <c r="Q40" s="54" t="str">
        <f>IF(AND('Mapa final'!$AD$37="Baja",'Mapa final'!$AF$37="Menor"),CONCATENATE("R5C",'Mapa final'!$T$37),"")</f>
        <v/>
      </c>
      <c r="R40" s="54" t="str">
        <f>IF(AND('Mapa final'!$AD$38="Baja",'Mapa final'!$AF$38="Menor"),CONCATENATE("R5C",'Mapa final'!$T$38),"")</f>
        <v/>
      </c>
      <c r="S40" s="54" t="str">
        <f>IF(AND('Mapa final'!$AD$39="Baja",'Mapa final'!$AF$39="Menor"),CONCATENATE("R5C",'Mapa final'!$T$39),"")</f>
        <v/>
      </c>
      <c r="T40" s="54" t="str">
        <f>IF(AND('Mapa final'!$AD$40="Baja",'Mapa final'!$AF$40="Menor"),CONCATENATE("R5C",'Mapa final'!$T$40),"")</f>
        <v/>
      </c>
      <c r="U40" s="55" t="str">
        <f>IF(AND('Mapa final'!$AD$41="Baja",'Mapa final'!$AF$41="Menor"),CONCATENATE("R5C",'Mapa final'!$T$41),"")</f>
        <v/>
      </c>
      <c r="V40" s="53" t="str">
        <f>IF(AND('Mapa final'!$AD$36="Baja",'Mapa final'!$AF$36="Moderado"),CONCATENATE("R5C",'Mapa final'!$T$36),"")</f>
        <v/>
      </c>
      <c r="W40" s="54" t="str">
        <f>IF(AND('Mapa final'!$AD$37="Baja",'Mapa final'!$AF$37="Moderado"),CONCATENATE("R5C",'Mapa final'!$T$37),"")</f>
        <v/>
      </c>
      <c r="X40" s="54" t="str">
        <f>IF(AND('Mapa final'!$AD$38="Baja",'Mapa final'!$AF$38="Moderado"),CONCATENATE("R5C",'Mapa final'!$T$38),"")</f>
        <v/>
      </c>
      <c r="Y40" s="54" t="str">
        <f>IF(AND('Mapa final'!$AD$39="Baja",'Mapa final'!$AF$39="Moderado"),CONCATENATE("R5C",'Mapa final'!$T$39),"")</f>
        <v/>
      </c>
      <c r="Z40" s="54" t="str">
        <f>IF(AND('Mapa final'!$AD$40="Baja",'Mapa final'!$AF$40="Moderado"),CONCATENATE("R5C",'Mapa final'!$T$40),"")</f>
        <v/>
      </c>
      <c r="AA40" s="55" t="str">
        <f>IF(AND('Mapa final'!$AD$41="Baja",'Mapa final'!$AF$41="Moderado"),CONCATENATE("R5C",'Mapa final'!$T$41),"")</f>
        <v/>
      </c>
      <c r="AB40" s="38" t="str">
        <f>IF(AND('Mapa final'!$AD$36="Baja",'Mapa final'!$AF$36="Mayor"),CONCATENATE("R5C",'Mapa final'!$T$36),"")</f>
        <v/>
      </c>
      <c r="AC40" s="39" t="str">
        <f>IF(AND('Mapa final'!$AD$37="Baja",'Mapa final'!$AF$37="Mayor"),CONCATENATE("R5C",'Mapa final'!$T$37),"")</f>
        <v>R5C2</v>
      </c>
      <c r="AD40" s="39" t="str">
        <f>IF(AND('Mapa final'!$AD$38="Baja",'Mapa final'!$AF$38="Mayor"),CONCATENATE("R5C",'Mapa final'!$T$38),"")</f>
        <v/>
      </c>
      <c r="AE40" s="39" t="str">
        <f>IF(AND('Mapa final'!$AD$39="Baja",'Mapa final'!$AF$39="Mayor"),CONCATENATE("R5C",'Mapa final'!$T$39),"")</f>
        <v/>
      </c>
      <c r="AF40" s="39" t="str">
        <f>IF(AND('Mapa final'!$AD$40="Baja",'Mapa final'!$AF$40="Mayor"),CONCATENATE("R5C",'Mapa final'!$T$40),"")</f>
        <v/>
      </c>
      <c r="AG40" s="40" t="str">
        <f>IF(AND('Mapa final'!$AD$41="Baja",'Mapa final'!$AF$41="Mayor"),CONCATENATE("R5C",'Mapa final'!$T$41),"")</f>
        <v/>
      </c>
      <c r="AH40" s="41" t="str">
        <f>IF(AND('Mapa final'!$AD$36="Baja",'Mapa final'!$AF$36="Catastrófico"),CONCATENATE("R5C",'Mapa final'!$T$36),"")</f>
        <v/>
      </c>
      <c r="AI40" s="42" t="str">
        <f>IF(AND('Mapa final'!$AD$37="Baja",'Mapa final'!$AF$37="Catastrófico"),CONCATENATE("R5C",'Mapa final'!$T$37),"")</f>
        <v/>
      </c>
      <c r="AJ40" s="42" t="str">
        <f>IF(AND('Mapa final'!$AD$38="Baja",'Mapa final'!$AF$38="Catastrófico"),CONCATENATE("R5C",'Mapa final'!$T$38),"")</f>
        <v/>
      </c>
      <c r="AK40" s="42" t="str">
        <f>IF(AND('Mapa final'!$AD$39="Baja",'Mapa final'!$AF$39="Catastrófico"),CONCATENATE("R5C",'Mapa final'!$T$39),"")</f>
        <v/>
      </c>
      <c r="AL40" s="42" t="str">
        <f>IF(AND('Mapa final'!$AD$40="Baja",'Mapa final'!$AF$40="Catastrófico"),CONCATENATE("R5C",'Mapa final'!$T$40),"")</f>
        <v/>
      </c>
      <c r="AM40" s="43" t="str">
        <f>IF(AND('Mapa final'!$AD$41="Baja",'Mapa final'!$AF$41="Catastrófico"),CONCATENATE("R5C",'Mapa final'!$T$41),"")</f>
        <v/>
      </c>
      <c r="AN40" s="69"/>
      <c r="AO40" s="522"/>
      <c r="AP40" s="523"/>
      <c r="AQ40" s="523"/>
      <c r="AR40" s="523"/>
      <c r="AS40" s="523"/>
      <c r="AT40" s="524"/>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450"/>
      <c r="C41" s="450"/>
      <c r="D41" s="451"/>
      <c r="E41" s="491"/>
      <c r="F41" s="492"/>
      <c r="G41" s="492"/>
      <c r="H41" s="492"/>
      <c r="I41" s="492"/>
      <c r="J41" s="62" t="str">
        <f>IF(AND('Mapa final'!$AD$42="Baja",'Mapa final'!$AF$42="Leve"),CONCATENATE("R6C",'Mapa final'!$T$42),"")</f>
        <v/>
      </c>
      <c r="K41" s="63" t="str">
        <f>IF(AND('Mapa final'!$AD$43="Baja",'Mapa final'!$AF$43="Leve"),CONCATENATE("R6C",'Mapa final'!$T$43),"")</f>
        <v/>
      </c>
      <c r="L41" s="63" t="str">
        <f>IF(AND('Mapa final'!$AD$44="Baja",'Mapa final'!$AF$44="Leve"),CONCATENATE("R6C",'Mapa final'!$T$44),"")</f>
        <v/>
      </c>
      <c r="M41" s="63" t="str">
        <f>IF(AND('Mapa final'!$AD$45="Baja",'Mapa final'!$AF$45="Leve"),CONCATENATE("R6C",'Mapa final'!$T$45),"")</f>
        <v/>
      </c>
      <c r="N41" s="63" t="str">
        <f>IF(AND('Mapa final'!$AD$46="Baja",'Mapa final'!$AF$46="Leve"),CONCATENATE("R6C",'Mapa final'!$T$46),"")</f>
        <v/>
      </c>
      <c r="O41" s="64" t="str">
        <f>IF(AND('Mapa final'!$AD$47="Baja",'Mapa final'!$AF$47="Leve"),CONCATENATE("R6C",'Mapa final'!$T$47),"")</f>
        <v/>
      </c>
      <c r="P41" s="53" t="str">
        <f>IF(AND('Mapa final'!$AD$42="Baja",'Mapa final'!$AF$42="Menor"),CONCATENATE("R6C",'Mapa final'!$T$42),"")</f>
        <v/>
      </c>
      <c r="Q41" s="54" t="str">
        <f>IF(AND('Mapa final'!$AD$43="Baja",'Mapa final'!$AF$43="Menor"),CONCATENATE("R6C",'Mapa final'!$T$43),"")</f>
        <v/>
      </c>
      <c r="R41" s="54" t="str">
        <f>IF(AND('Mapa final'!$AD$44="Baja",'Mapa final'!$AF$44="Menor"),CONCATENATE("R6C",'Mapa final'!$T$44),"")</f>
        <v/>
      </c>
      <c r="S41" s="54" t="str">
        <f>IF(AND('Mapa final'!$AD$45="Baja",'Mapa final'!$AF$45="Menor"),CONCATENATE("R6C",'Mapa final'!$T$45),"")</f>
        <v/>
      </c>
      <c r="T41" s="54" t="str">
        <f>IF(AND('Mapa final'!$AD$46="Baja",'Mapa final'!$AF$46="Menor"),CONCATENATE("R6C",'Mapa final'!$T$46),"")</f>
        <v/>
      </c>
      <c r="U41" s="55" t="str">
        <f>IF(AND('Mapa final'!$AD$47="Baja",'Mapa final'!$AF$47="Menor"),CONCATENATE("R6C",'Mapa final'!$T$47),"")</f>
        <v/>
      </c>
      <c r="V41" s="53" t="str">
        <f>IF(AND('Mapa final'!$AD$42="Baja",'Mapa final'!$AF$42="Moderado"),CONCATENATE("R6C",'Mapa final'!$T$42),"")</f>
        <v/>
      </c>
      <c r="W41" s="54" t="str">
        <f>IF(AND('Mapa final'!$AD$43="Baja",'Mapa final'!$AF$43="Moderado"),CONCATENATE("R6C",'Mapa final'!$T$43),"")</f>
        <v/>
      </c>
      <c r="X41" s="54" t="str">
        <f>IF(AND('Mapa final'!$AD$44="Baja",'Mapa final'!$AF$44="Moderado"),CONCATENATE("R6C",'Mapa final'!$T$44),"")</f>
        <v/>
      </c>
      <c r="Y41" s="54" t="str">
        <f>IF(AND('Mapa final'!$AD$45="Baja",'Mapa final'!$AF$45="Moderado"),CONCATENATE("R6C",'Mapa final'!$T$45),"")</f>
        <v/>
      </c>
      <c r="Z41" s="54" t="str">
        <f>IF(AND('Mapa final'!$AD$46="Baja",'Mapa final'!$AF$46="Moderado"),CONCATENATE("R6C",'Mapa final'!$T$46),"")</f>
        <v/>
      </c>
      <c r="AA41" s="55" t="str">
        <f>IF(AND('Mapa final'!$AD$47="Baja",'Mapa final'!$AF$47="Moderado"),CONCATENATE("R6C",'Mapa final'!$T$47),"")</f>
        <v/>
      </c>
      <c r="AB41" s="38" t="str">
        <f>IF(AND('Mapa final'!$AD$42="Baja",'Mapa final'!$AF$42="Mayor"),CONCATENATE("R6C",'Mapa final'!$T$42),"")</f>
        <v/>
      </c>
      <c r="AC41" s="39" t="str">
        <f>IF(AND('Mapa final'!$AD$43="Baja",'Mapa final'!$AF$43="Mayor"),CONCATENATE("R6C",'Mapa final'!$T$43),"")</f>
        <v/>
      </c>
      <c r="AD41" s="39" t="str">
        <f>IF(AND('Mapa final'!$AD$44="Baja",'Mapa final'!$AF$44="Mayor"),CONCATENATE("R6C",'Mapa final'!$T$44),"")</f>
        <v>R6C3</v>
      </c>
      <c r="AE41" s="39" t="str">
        <f>IF(AND('Mapa final'!$AD$45="Baja",'Mapa final'!$AF$45="Mayor"),CONCATENATE("R6C",'Mapa final'!$T$45),"")</f>
        <v/>
      </c>
      <c r="AF41" s="39" t="str">
        <f>IF(AND('Mapa final'!$AD$46="Baja",'Mapa final'!$AF$46="Mayor"),CONCATENATE("R6C",'Mapa final'!$T$46),"")</f>
        <v/>
      </c>
      <c r="AG41" s="40" t="str">
        <f>IF(AND('Mapa final'!$AD$47="Baja",'Mapa final'!$AF$47="Mayor"),CONCATENATE("R6C",'Mapa final'!$T$47),"")</f>
        <v/>
      </c>
      <c r="AH41" s="41" t="str">
        <f>IF(AND('Mapa final'!$AD$42="Baja",'Mapa final'!$AF$42="Catastrófico"),CONCATENATE("R6C",'Mapa final'!$T$42),"")</f>
        <v/>
      </c>
      <c r="AI41" s="42" t="str">
        <f>IF(AND('Mapa final'!$AD$43="Baja",'Mapa final'!$AF$43="Catastrófico"),CONCATENATE("R6C",'Mapa final'!$T$43),"")</f>
        <v>R6C2</v>
      </c>
      <c r="AJ41" s="42" t="str">
        <f>IF(AND('Mapa final'!$AD$44="Baja",'Mapa final'!$AF$44="Catastrófico"),CONCATENATE("R6C",'Mapa final'!$T$44),"")</f>
        <v/>
      </c>
      <c r="AK41" s="42" t="str">
        <f>IF(AND('Mapa final'!$AD$45="Baja",'Mapa final'!$AF$45="Catastrófico"),CONCATENATE("R6C",'Mapa final'!$T$45),"")</f>
        <v/>
      </c>
      <c r="AL41" s="42" t="str">
        <f>IF(AND('Mapa final'!$AD$46="Baja",'Mapa final'!$AF$46="Catastrófico"),CONCATENATE("R6C",'Mapa final'!$T$46),"")</f>
        <v/>
      </c>
      <c r="AM41" s="43" t="str">
        <f>IF(AND('Mapa final'!$AD$47="Baja",'Mapa final'!$AF$47="Catastrófico"),CONCATENATE("R6C",'Mapa final'!$T$47),"")</f>
        <v/>
      </c>
      <c r="AN41" s="69"/>
      <c r="AO41" s="522"/>
      <c r="AP41" s="523"/>
      <c r="AQ41" s="523"/>
      <c r="AR41" s="523"/>
      <c r="AS41" s="523"/>
      <c r="AT41" s="524"/>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450"/>
      <c r="C42" s="450"/>
      <c r="D42" s="451"/>
      <c r="E42" s="491"/>
      <c r="F42" s="492"/>
      <c r="G42" s="492"/>
      <c r="H42" s="492"/>
      <c r="I42" s="492"/>
      <c r="J42" s="62" t="str">
        <f>IF(AND('Mapa final'!$AD$48="Baja",'Mapa final'!$AF$48="Leve"),CONCATENATE("R7C",'Mapa final'!$T$48),"")</f>
        <v/>
      </c>
      <c r="K42" s="63" t="str">
        <f>IF(AND('Mapa final'!$AD$49="Baja",'Mapa final'!$AF$49="Leve"),CONCATENATE("R7C",'Mapa final'!$T$49),"")</f>
        <v/>
      </c>
      <c r="L42" s="63" t="str">
        <f>IF(AND('Mapa final'!$AD$50="Baja",'Mapa final'!$AF$50="Leve"),CONCATENATE("R7C",'Mapa final'!$T$50),"")</f>
        <v/>
      </c>
      <c r="M42" s="63" t="str">
        <f>IF(AND('Mapa final'!$AD$51="Baja",'Mapa final'!$AF$51="Leve"),CONCATENATE("R7C",'Mapa final'!$T$51),"")</f>
        <v/>
      </c>
      <c r="N42" s="63" t="str">
        <f>IF(AND('Mapa final'!$AD$52="Baja",'Mapa final'!$AF$52="Leve"),CONCATENATE("R7C",'Mapa final'!$T$52),"")</f>
        <v/>
      </c>
      <c r="O42" s="64" t="str">
        <f>IF(AND('Mapa final'!$AD$53="Baja",'Mapa final'!$AF$53="Leve"),CONCATENATE("R7C",'Mapa final'!$T$53),"")</f>
        <v/>
      </c>
      <c r="P42" s="53" t="str">
        <f>IF(AND('Mapa final'!$AD$48="Baja",'Mapa final'!$AF$48="Menor"),CONCATENATE("R7C",'Mapa final'!$T$48),"")</f>
        <v/>
      </c>
      <c r="Q42" s="54" t="str">
        <f>IF(AND('Mapa final'!$AD$49="Baja",'Mapa final'!$AF$49="Menor"),CONCATENATE("R7C",'Mapa final'!$T$49),"")</f>
        <v/>
      </c>
      <c r="R42" s="54" t="str">
        <f>IF(AND('Mapa final'!$AD$50="Baja",'Mapa final'!$AF$50="Menor"),CONCATENATE("R7C",'Mapa final'!$T$50),"")</f>
        <v/>
      </c>
      <c r="S42" s="54" t="str">
        <f>IF(AND('Mapa final'!$AD$51="Baja",'Mapa final'!$AF$51="Menor"),CONCATENATE("R7C",'Mapa final'!$T$51),"")</f>
        <v/>
      </c>
      <c r="T42" s="54" t="str">
        <f>IF(AND('Mapa final'!$AD$52="Baja",'Mapa final'!$AF$52="Menor"),CONCATENATE("R7C",'Mapa final'!$T$52),"")</f>
        <v/>
      </c>
      <c r="U42" s="55" t="str">
        <f>IF(AND('Mapa final'!$AD$53="Baja",'Mapa final'!$AF$53="Menor"),CONCATENATE("R7C",'Mapa final'!$T$53),"")</f>
        <v/>
      </c>
      <c r="V42" s="53" t="str">
        <f>IF(AND('Mapa final'!$AD$48="Baja",'Mapa final'!$AF$48="Moderado"),CONCATENATE("R7C",'Mapa final'!$T$48),"")</f>
        <v/>
      </c>
      <c r="W42" s="54" t="str">
        <f>IF(AND('Mapa final'!$AD$49="Baja",'Mapa final'!$AF$49="Moderado"),CONCATENATE("R7C",'Mapa final'!$T$49),"")</f>
        <v/>
      </c>
      <c r="X42" s="54" t="str">
        <f>IF(AND('Mapa final'!$AD$50="Baja",'Mapa final'!$AF$50="Moderado"),CONCATENATE("R7C",'Mapa final'!$T$50),"")</f>
        <v/>
      </c>
      <c r="Y42" s="54" t="str">
        <f>IF(AND('Mapa final'!$AD$51="Baja",'Mapa final'!$AF$51="Moderado"),CONCATENATE("R7C",'Mapa final'!$T$51),"")</f>
        <v/>
      </c>
      <c r="Z42" s="54" t="str">
        <f>IF(AND('Mapa final'!$AD$52="Baja",'Mapa final'!$AF$52="Moderado"),CONCATENATE("R7C",'Mapa final'!$T$52),"")</f>
        <v/>
      </c>
      <c r="AA42" s="55" t="str">
        <f>IF(AND('Mapa final'!$AD$53="Baja",'Mapa final'!$AF$53="Moderado"),CONCATENATE("R7C",'Mapa final'!$T$53),"")</f>
        <v/>
      </c>
      <c r="AB42" s="38" t="str">
        <f>IF(AND('Mapa final'!$AD$48="Baja",'Mapa final'!$AF$48="Mayor"),CONCATENATE("R7C",'Mapa final'!$T$48),"")</f>
        <v/>
      </c>
      <c r="AC42" s="39" t="str">
        <f>IF(AND('Mapa final'!$AD$49="Baja",'Mapa final'!$AF$49="Mayor"),CONCATENATE("R7C",'Mapa final'!$T$49),"")</f>
        <v/>
      </c>
      <c r="AD42" s="39" t="str">
        <f>IF(AND('Mapa final'!$AD$50="Baja",'Mapa final'!$AF$50="Mayor"),CONCATENATE("R7C",'Mapa final'!$T$50),"")</f>
        <v>R7C3</v>
      </c>
      <c r="AE42" s="39" t="str">
        <f>IF(AND('Mapa final'!$AD$51="Baja",'Mapa final'!$AF$51="Mayor"),CONCATENATE("R7C",'Mapa final'!$T$51),"")</f>
        <v/>
      </c>
      <c r="AF42" s="39" t="str">
        <f>IF(AND('Mapa final'!$AD$52="Baja",'Mapa final'!$AF$52="Mayor"),CONCATENATE("R7C",'Mapa final'!$T$52),"")</f>
        <v/>
      </c>
      <c r="AG42" s="40" t="str">
        <f>IF(AND('Mapa final'!$AD$53="Baja",'Mapa final'!$AF$53="Mayor"),CONCATENATE("R7C",'Mapa final'!$T$53),"")</f>
        <v/>
      </c>
      <c r="AH42" s="41" t="str">
        <f>IF(AND('Mapa final'!$AD$48="Baja",'Mapa final'!$AF$48="Catastrófico"),CONCATENATE("R7C",'Mapa final'!$T$48),"")</f>
        <v/>
      </c>
      <c r="AI42" s="42" t="str">
        <f>IF(AND('Mapa final'!$AD$49="Baja",'Mapa final'!$AF$49="Catastrófico"),CONCATENATE("R7C",'Mapa final'!$T$49),"")</f>
        <v>R7C2</v>
      </c>
      <c r="AJ42" s="42" t="str">
        <f>IF(AND('Mapa final'!$AD$50="Baja",'Mapa final'!$AF$50="Catastrófico"),CONCATENATE("R7C",'Mapa final'!$T$50),"")</f>
        <v/>
      </c>
      <c r="AK42" s="42" t="str">
        <f>IF(AND('Mapa final'!$AD$51="Baja",'Mapa final'!$AF$51="Catastrófico"),CONCATENATE("R7C",'Mapa final'!$T$51),"")</f>
        <v/>
      </c>
      <c r="AL42" s="42" t="str">
        <f>IF(AND('Mapa final'!$AD$52="Baja",'Mapa final'!$AF$52="Catastrófico"),CONCATENATE("R7C",'Mapa final'!$T$52),"")</f>
        <v/>
      </c>
      <c r="AM42" s="43" t="str">
        <f>IF(AND('Mapa final'!$AD$53="Baja",'Mapa final'!$AF$53="Catastrófico"),CONCATENATE("R7C",'Mapa final'!$T$53),"")</f>
        <v/>
      </c>
      <c r="AN42" s="69"/>
      <c r="AO42" s="522"/>
      <c r="AP42" s="523"/>
      <c r="AQ42" s="523"/>
      <c r="AR42" s="523"/>
      <c r="AS42" s="523"/>
      <c r="AT42" s="524"/>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450"/>
      <c r="C43" s="450"/>
      <c r="D43" s="451"/>
      <c r="E43" s="491"/>
      <c r="F43" s="492"/>
      <c r="G43" s="492"/>
      <c r="H43" s="492"/>
      <c r="I43" s="492"/>
      <c r="J43" s="62" t="str">
        <f>IF(AND('Mapa final'!$AD$54="Baja",'Mapa final'!$AF$54="Leve"),CONCATENATE("R8C",'Mapa final'!$T$54),"")</f>
        <v/>
      </c>
      <c r="K43" s="63" t="str">
        <f>IF(AND('Mapa final'!$AD$55="Baja",'Mapa final'!$AF$55="Leve"),CONCATENATE("R8C",'Mapa final'!$T$55),"")</f>
        <v/>
      </c>
      <c r="L43" s="63" t="str">
        <f>IF(AND('Mapa final'!$AD$56="Baja",'Mapa final'!$AF$56="Leve"),CONCATENATE("R8C",'Mapa final'!$T$56),"")</f>
        <v/>
      </c>
      <c r="M43" s="63" t="str">
        <f>IF(AND('Mapa final'!$AD$57="Baja",'Mapa final'!$AF$57="Leve"),CONCATENATE("R8C",'Mapa final'!$T$57),"")</f>
        <v/>
      </c>
      <c r="N43" s="63" t="str">
        <f>IF(AND('Mapa final'!$AD$58="Baja",'Mapa final'!$AF$58="Leve"),CONCATENATE("R8C",'Mapa final'!$T$58),"")</f>
        <v/>
      </c>
      <c r="O43" s="64" t="str">
        <f>IF(AND('Mapa final'!$AD$59="Baja",'Mapa final'!$AF$59="Leve"),CONCATENATE("R8C",'Mapa final'!$T$59),"")</f>
        <v/>
      </c>
      <c r="P43" s="53" t="str">
        <f>IF(AND('Mapa final'!$AD$54="Baja",'Mapa final'!$AF$54="Menor"),CONCATENATE("R8C",'Mapa final'!$T$54),"")</f>
        <v/>
      </c>
      <c r="Q43" s="54" t="str">
        <f>IF(AND('Mapa final'!$AD$55="Baja",'Mapa final'!$AF$55="Menor"),CONCATENATE("R8C",'Mapa final'!$T$55),"")</f>
        <v/>
      </c>
      <c r="R43" s="54" t="str">
        <f>IF(AND('Mapa final'!$AD$56="Baja",'Mapa final'!$AF$56="Menor"),CONCATENATE("R8C",'Mapa final'!$T$56),"")</f>
        <v/>
      </c>
      <c r="S43" s="54" t="str">
        <f>IF(AND('Mapa final'!$AD$57="Baja",'Mapa final'!$AF$57="Menor"),CONCATENATE("R8C",'Mapa final'!$T$57),"")</f>
        <v/>
      </c>
      <c r="T43" s="54" t="str">
        <f>IF(AND('Mapa final'!$AD$58="Baja",'Mapa final'!$AF$58="Menor"),CONCATENATE("R8C",'Mapa final'!$T$58),"")</f>
        <v/>
      </c>
      <c r="U43" s="55" t="str">
        <f>IF(AND('Mapa final'!$AD$59="Baja",'Mapa final'!$AF$59="Menor"),CONCATENATE("R8C",'Mapa final'!$T$59),"")</f>
        <v/>
      </c>
      <c r="V43" s="53" t="str">
        <f>IF(AND('Mapa final'!$AD$54="Baja",'Mapa final'!$AF$54="Moderado"),CONCATENATE("R8C",'Mapa final'!$T$54),"")</f>
        <v/>
      </c>
      <c r="W43" s="54" t="str">
        <f>IF(AND('Mapa final'!$AD$55="Baja",'Mapa final'!$AF$55="Moderado"),CONCATENATE("R8C",'Mapa final'!$T$55),"")</f>
        <v/>
      </c>
      <c r="X43" s="54" t="str">
        <f>IF(AND('Mapa final'!$AD$56="Baja",'Mapa final'!$AF$56="Moderado"),CONCATENATE("R8C",'Mapa final'!$T$56),"")</f>
        <v/>
      </c>
      <c r="Y43" s="54" t="str">
        <f>IF(AND('Mapa final'!$AD$57="Baja",'Mapa final'!$AF$57="Moderado"),CONCATENATE("R8C",'Mapa final'!$T$57),"")</f>
        <v/>
      </c>
      <c r="Z43" s="54" t="str">
        <f>IF(AND('Mapa final'!$AD$58="Baja",'Mapa final'!$AF$58="Moderado"),CONCATENATE("R8C",'Mapa final'!$T$58),"")</f>
        <v/>
      </c>
      <c r="AA43" s="55" t="str">
        <f>IF(AND('Mapa final'!$AD$59="Baja",'Mapa final'!$AF$59="Moderado"),CONCATENATE("R8C",'Mapa final'!$T$59),"")</f>
        <v/>
      </c>
      <c r="AB43" s="38" t="str">
        <f>IF(AND('Mapa final'!$AD$54="Baja",'Mapa final'!$AF$54="Mayor"),CONCATENATE("R8C",'Mapa final'!$T$54),"")</f>
        <v/>
      </c>
      <c r="AC43" s="39" t="str">
        <f>IF(AND('Mapa final'!$AD$55="Baja",'Mapa final'!$AF$55="Mayor"),CONCATENATE("R8C",'Mapa final'!$T$55),"")</f>
        <v/>
      </c>
      <c r="AD43" s="39" t="str">
        <f>IF(AND('Mapa final'!$AD$56="Baja",'Mapa final'!$AF$56="Mayor"),CONCATENATE("R8C",'Mapa final'!$T$56),"")</f>
        <v/>
      </c>
      <c r="AE43" s="39" t="str">
        <f>IF(AND('Mapa final'!$AD$57="Baja",'Mapa final'!$AF$57="Mayor"),CONCATENATE("R8C",'Mapa final'!$T$57),"")</f>
        <v/>
      </c>
      <c r="AF43" s="39" t="str">
        <f>IF(AND('Mapa final'!$AD$58="Baja",'Mapa final'!$AF$58="Mayor"),CONCATENATE("R8C",'Mapa final'!$T$58),"")</f>
        <v/>
      </c>
      <c r="AG43" s="40" t="str">
        <f>IF(AND('Mapa final'!$AD$59="Baja",'Mapa final'!$AF$59="Mayor"),CONCATENATE("R8C",'Mapa final'!$T$59),"")</f>
        <v/>
      </c>
      <c r="AH43" s="41" t="str">
        <f>IF(AND('Mapa final'!$AD$54="Baja",'Mapa final'!$AF$54="Catastrófico"),CONCATENATE("R8C",'Mapa final'!$T$54),"")</f>
        <v>R8C1</v>
      </c>
      <c r="AI43" s="42" t="str">
        <f>IF(AND('Mapa final'!$AD$55="Baja",'Mapa final'!$AF$55="Catastrófico"),CONCATENATE("R8C",'Mapa final'!$T$55),"")</f>
        <v/>
      </c>
      <c r="AJ43" s="42" t="str">
        <f>IF(AND('Mapa final'!$AD$56="Baja",'Mapa final'!$AF$56="Catastrófico"),CONCATENATE("R8C",'Mapa final'!$T$56),"")</f>
        <v/>
      </c>
      <c r="AK43" s="42" t="str">
        <f>IF(AND('Mapa final'!$AD$57="Baja",'Mapa final'!$AF$57="Catastrófico"),CONCATENATE("R8C",'Mapa final'!$T$57),"")</f>
        <v/>
      </c>
      <c r="AL43" s="42" t="str">
        <f>IF(AND('Mapa final'!$AD$58="Baja",'Mapa final'!$AF$58="Catastrófico"),CONCATENATE("R8C",'Mapa final'!$T$58),"")</f>
        <v/>
      </c>
      <c r="AM43" s="43" t="str">
        <f>IF(AND('Mapa final'!$AD$59="Baja",'Mapa final'!$AF$59="Catastrófico"),CONCATENATE("R8C",'Mapa final'!$T$59),"")</f>
        <v/>
      </c>
      <c r="AN43" s="69"/>
      <c r="AO43" s="522"/>
      <c r="AP43" s="523"/>
      <c r="AQ43" s="523"/>
      <c r="AR43" s="523"/>
      <c r="AS43" s="523"/>
      <c r="AT43" s="524"/>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450"/>
      <c r="C44" s="450"/>
      <c r="D44" s="451"/>
      <c r="E44" s="491"/>
      <c r="F44" s="492"/>
      <c r="G44" s="492"/>
      <c r="H44" s="492"/>
      <c r="I44" s="492"/>
      <c r="J44" s="62" t="str">
        <f>IF(AND('Mapa final'!$AD$60="Baja",'Mapa final'!$AF$60="Leve"),CONCATENATE("R9C",'Mapa final'!$T$60),"")</f>
        <v/>
      </c>
      <c r="K44" s="63" t="str">
        <f>IF(AND('Mapa final'!$AD$61="Baja",'Mapa final'!$AF$61="Leve"),CONCATENATE("R9C",'Mapa final'!$T$61),"")</f>
        <v/>
      </c>
      <c r="L44" s="63" t="str">
        <f>IF(AND('Mapa final'!$AD$62="Baja",'Mapa final'!$AF$62="Leve"),CONCATENATE("R9C",'Mapa final'!$T$62),"")</f>
        <v/>
      </c>
      <c r="M44" s="63" t="str">
        <f>IF(AND('Mapa final'!$AD$63="Baja",'Mapa final'!$AF$63="Leve"),CONCATENATE("R9C",'Mapa final'!$T$63),"")</f>
        <v/>
      </c>
      <c r="N44" s="63" t="str">
        <f>IF(AND('Mapa final'!$AD$64="Baja",'Mapa final'!$AF$64="Leve"),CONCATENATE("R9C",'Mapa final'!$T$64),"")</f>
        <v/>
      </c>
      <c r="O44" s="64" t="str">
        <f>IF(AND('Mapa final'!$AD$65="Baja",'Mapa final'!$AF$65="Leve"),CONCATENATE("R9C",'Mapa final'!$T$65),"")</f>
        <v/>
      </c>
      <c r="P44" s="53" t="str">
        <f>IF(AND('Mapa final'!$AD$60="Baja",'Mapa final'!$AF$60="Menor"),CONCATENATE("R9C",'Mapa final'!$T$60),"")</f>
        <v/>
      </c>
      <c r="Q44" s="54" t="str">
        <f>IF(AND('Mapa final'!$AD$61="Baja",'Mapa final'!$AF$61="Menor"),CONCATENATE("R9C",'Mapa final'!$T$61),"")</f>
        <v/>
      </c>
      <c r="R44" s="54" t="str">
        <f>IF(AND('Mapa final'!$AD$62="Baja",'Mapa final'!$AF$62="Menor"),CONCATENATE("R9C",'Mapa final'!$T$62),"")</f>
        <v/>
      </c>
      <c r="S44" s="54" t="str">
        <f>IF(AND('Mapa final'!$AD$63="Baja",'Mapa final'!$AF$63="Menor"),CONCATENATE("R9C",'Mapa final'!$T$63),"")</f>
        <v/>
      </c>
      <c r="T44" s="54" t="str">
        <f>IF(AND('Mapa final'!$AD$64="Baja",'Mapa final'!$AF$64="Menor"),CONCATENATE("R9C",'Mapa final'!$T$64),"")</f>
        <v/>
      </c>
      <c r="U44" s="55" t="str">
        <f>IF(AND('Mapa final'!$AD$65="Baja",'Mapa final'!$AF$65="Menor"),CONCATENATE("R9C",'Mapa final'!$T$65),"")</f>
        <v/>
      </c>
      <c r="V44" s="53" t="str">
        <f>IF(AND('Mapa final'!$AD$60="Baja",'Mapa final'!$AF$60="Moderado"),CONCATENATE("R9C",'Mapa final'!$T$60),"")</f>
        <v/>
      </c>
      <c r="W44" s="54" t="str">
        <f>IF(AND('Mapa final'!$AD$61="Baja",'Mapa final'!$AF$61="Moderado"),CONCATENATE("R9C",'Mapa final'!$T$61),"")</f>
        <v/>
      </c>
      <c r="X44" s="54" t="str">
        <f>IF(AND('Mapa final'!$AD$62="Baja",'Mapa final'!$AF$62="Moderado"),CONCATENATE("R9C",'Mapa final'!$T$62),"")</f>
        <v/>
      </c>
      <c r="Y44" s="54" t="str">
        <f>IF(AND('Mapa final'!$AD$63="Baja",'Mapa final'!$AF$63="Moderado"),CONCATENATE("R9C",'Mapa final'!$T$63),"")</f>
        <v/>
      </c>
      <c r="Z44" s="54" t="str">
        <f>IF(AND('Mapa final'!$AD$64="Baja",'Mapa final'!$AF$64="Moderado"),CONCATENATE("R9C",'Mapa final'!$T$64),"")</f>
        <v/>
      </c>
      <c r="AA44" s="55" t="str">
        <f>IF(AND('Mapa final'!$AD$65="Baja",'Mapa final'!$AF$65="Moderado"),CONCATENATE("R9C",'Mapa final'!$T$65),"")</f>
        <v/>
      </c>
      <c r="AB44" s="38" t="str">
        <f>IF(AND('Mapa final'!$AD$60="Baja",'Mapa final'!$AF$60="Mayor"),CONCATENATE("R9C",'Mapa final'!$T$60),"")</f>
        <v/>
      </c>
      <c r="AC44" s="39" t="str">
        <f>IF(AND('Mapa final'!$AD$61="Baja",'Mapa final'!$AF$61="Mayor"),CONCATENATE("R9C",'Mapa final'!$T$61),"")</f>
        <v/>
      </c>
      <c r="AD44" s="39" t="str">
        <f>IF(AND('Mapa final'!$AD$62="Baja",'Mapa final'!$AF$62="Mayor"),CONCATENATE("R9C",'Mapa final'!$T$62),"")</f>
        <v/>
      </c>
      <c r="AE44" s="39" t="str">
        <f>IF(AND('Mapa final'!$AD$63="Baja",'Mapa final'!$AF$63="Mayor"),CONCATENATE("R9C",'Mapa final'!$T$63),"")</f>
        <v/>
      </c>
      <c r="AF44" s="39" t="str">
        <f>IF(AND('Mapa final'!$AD$64="Baja",'Mapa final'!$AF$64="Mayor"),CONCATENATE("R9C",'Mapa final'!$T$64),"")</f>
        <v/>
      </c>
      <c r="AG44" s="40" t="str">
        <f>IF(AND('Mapa final'!$AD$65="Baja",'Mapa final'!$AF$65="Mayor"),CONCATENATE("R9C",'Mapa final'!$T$65),"")</f>
        <v/>
      </c>
      <c r="AH44" s="41" t="str">
        <f>IF(AND('Mapa final'!$AD$60="Baja",'Mapa final'!$AF$60="Catastrófico"),CONCATENATE("R9C",'Mapa final'!$T$60),"")</f>
        <v>R9C1</v>
      </c>
      <c r="AI44" s="42" t="str">
        <f>IF(AND('Mapa final'!$AD$61="Baja",'Mapa final'!$AF$61="Catastrófico"),CONCATENATE("R9C",'Mapa final'!$T$61),"")</f>
        <v>R9C2</v>
      </c>
      <c r="AJ44" s="42" t="str">
        <f>IF(AND('Mapa final'!$AD$62="Baja",'Mapa final'!$AF$62="Catastrófico"),CONCATENATE("R9C",'Mapa final'!$T$62),"")</f>
        <v/>
      </c>
      <c r="AK44" s="42" t="str">
        <f>IF(AND('Mapa final'!$AD$63="Baja",'Mapa final'!$AF$63="Catastrófico"),CONCATENATE("R9C",'Mapa final'!$T$63),"")</f>
        <v/>
      </c>
      <c r="AL44" s="42" t="str">
        <f>IF(AND('Mapa final'!$AD$64="Baja",'Mapa final'!$AF$64="Catastrófico"),CONCATENATE("R9C",'Mapa final'!$T$64),"")</f>
        <v/>
      </c>
      <c r="AM44" s="43" t="str">
        <f>IF(AND('Mapa final'!$AD$65="Baja",'Mapa final'!$AF$65="Catastrófico"),CONCATENATE("R9C",'Mapa final'!$T$65),"")</f>
        <v/>
      </c>
      <c r="AN44" s="69"/>
      <c r="AO44" s="522"/>
      <c r="AP44" s="523"/>
      <c r="AQ44" s="523"/>
      <c r="AR44" s="523"/>
      <c r="AS44" s="523"/>
      <c r="AT44" s="524"/>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450"/>
      <c r="C45" s="450"/>
      <c r="D45" s="451"/>
      <c r="E45" s="494"/>
      <c r="F45" s="495"/>
      <c r="G45" s="495"/>
      <c r="H45" s="495"/>
      <c r="I45" s="495"/>
      <c r="J45" s="65" t="str">
        <f>IF(AND('Mapa final'!$AD$66="Baja",'Mapa final'!$AF$66="Leve"),CONCATENATE("R10C",'Mapa final'!$T$66),"")</f>
        <v/>
      </c>
      <c r="K45" s="66" t="str">
        <f>IF(AND('Mapa final'!$AD$67="Baja",'Mapa final'!$AF$67="Leve"),CONCATENATE("R10C",'Mapa final'!$T$67),"")</f>
        <v/>
      </c>
      <c r="L45" s="66" t="str">
        <f>IF(AND('Mapa final'!$AD$68="Baja",'Mapa final'!$AF$68="Leve"),CONCATENATE("R10C",'Mapa final'!$T$68),"")</f>
        <v/>
      </c>
      <c r="M45" s="66" t="str">
        <f>IF(AND('Mapa final'!$AD$69="Baja",'Mapa final'!$AF$69="Leve"),CONCATENATE("R10C",'Mapa final'!$T$69),"")</f>
        <v/>
      </c>
      <c r="N45" s="66" t="str">
        <f>IF(AND('Mapa final'!$AD$70="Baja",'Mapa final'!$AF$70="Leve"),CONCATENATE("R10C",'Mapa final'!$T$70),"")</f>
        <v/>
      </c>
      <c r="O45" s="67" t="str">
        <f>IF(AND('Mapa final'!$AD$71="Baja",'Mapa final'!$AF$71="Leve"),CONCATENATE("R10C",'Mapa final'!$T$71),"")</f>
        <v/>
      </c>
      <c r="P45" s="53" t="str">
        <f>IF(AND('Mapa final'!$AD$66="Baja",'Mapa final'!$AF$66="Menor"),CONCATENATE("R10C",'Mapa final'!$T$66),"")</f>
        <v/>
      </c>
      <c r="Q45" s="54" t="str">
        <f>IF(AND('Mapa final'!$AD$67="Baja",'Mapa final'!$AF$67="Menor"),CONCATENATE("R10C",'Mapa final'!$T$67),"")</f>
        <v/>
      </c>
      <c r="R45" s="54" t="str">
        <f>IF(AND('Mapa final'!$AD$68="Baja",'Mapa final'!$AF$68="Menor"),CONCATENATE("R10C",'Mapa final'!$T$68),"")</f>
        <v/>
      </c>
      <c r="S45" s="54" t="str">
        <f>IF(AND('Mapa final'!$AD$69="Baja",'Mapa final'!$AF$69="Menor"),CONCATENATE("R10C",'Mapa final'!$T$69),"")</f>
        <v/>
      </c>
      <c r="T45" s="54" t="str">
        <f>IF(AND('Mapa final'!$AD$70="Baja",'Mapa final'!$AF$70="Menor"),CONCATENATE("R10C",'Mapa final'!$T$70),"")</f>
        <v/>
      </c>
      <c r="U45" s="55" t="str">
        <f>IF(AND('Mapa final'!$AD$71="Baja",'Mapa final'!$AF$71="Menor"),CONCATENATE("R10C",'Mapa final'!$T$71),"")</f>
        <v/>
      </c>
      <c r="V45" s="56" t="str">
        <f>IF(AND('Mapa final'!$AD$66="Baja",'Mapa final'!$AF$66="Moderado"),CONCATENATE("R10C",'Mapa final'!$T$66),"")</f>
        <v/>
      </c>
      <c r="W45" s="57" t="str">
        <f>IF(AND('Mapa final'!$AD$67="Baja",'Mapa final'!$AF$67="Moderado"),CONCATENATE("R10C",'Mapa final'!$T$67),"")</f>
        <v/>
      </c>
      <c r="X45" s="57" t="str">
        <f>IF(AND('Mapa final'!$AD$68="Baja",'Mapa final'!$AF$68="Moderado"),CONCATENATE("R10C",'Mapa final'!$T$68),"")</f>
        <v/>
      </c>
      <c r="Y45" s="57" t="str">
        <f>IF(AND('Mapa final'!$AD$69="Baja",'Mapa final'!$AF$69="Moderado"),CONCATENATE("R10C",'Mapa final'!$T$69),"")</f>
        <v/>
      </c>
      <c r="Z45" s="57" t="str">
        <f>IF(AND('Mapa final'!$AD$70="Baja",'Mapa final'!$AF$70="Moderado"),CONCATENATE("R10C",'Mapa final'!$T$70),"")</f>
        <v/>
      </c>
      <c r="AA45" s="58" t="str">
        <f>IF(AND('Mapa final'!$AD$71="Baja",'Mapa final'!$AF$71="Moderado"),CONCATENATE("R10C",'Mapa final'!$T$71),"")</f>
        <v/>
      </c>
      <c r="AB45" s="44" t="str">
        <f>IF(AND('Mapa final'!$AD$66="Baja",'Mapa final'!$AF$66="Mayor"),CONCATENATE("R10C",'Mapa final'!$T$66),"")</f>
        <v/>
      </c>
      <c r="AC45" s="45" t="str">
        <f>IF(AND('Mapa final'!$AD$67="Baja",'Mapa final'!$AF$67="Mayor"),CONCATENATE("R10C",'Mapa final'!$T$67),"")</f>
        <v/>
      </c>
      <c r="AD45" s="45" t="str">
        <f>IF(AND('Mapa final'!$AD$68="Baja",'Mapa final'!$AF$68="Mayor"),CONCATENATE("R10C",'Mapa final'!$T$68),"")</f>
        <v/>
      </c>
      <c r="AE45" s="45" t="str">
        <f>IF(AND('Mapa final'!$AD$69="Baja",'Mapa final'!$AF$69="Mayor"),CONCATENATE("R10C",'Mapa final'!$T$69),"")</f>
        <v/>
      </c>
      <c r="AF45" s="45" t="str">
        <f>IF(AND('Mapa final'!$AD$70="Baja",'Mapa final'!$AF$70="Mayor"),CONCATENATE("R10C",'Mapa final'!$T$70),"")</f>
        <v/>
      </c>
      <c r="AG45" s="46" t="str">
        <f>IF(AND('Mapa final'!$AD$71="Baja",'Mapa final'!$AF$71="Mayor"),CONCATENATE("R10C",'Mapa final'!$T$71),"")</f>
        <v/>
      </c>
      <c r="AH45" s="47" t="str">
        <f>IF(AND('Mapa final'!$AD$66="Baja",'Mapa final'!$AF$66="Catastrófico"),CONCATENATE("R10C",'Mapa final'!$T$66),"")</f>
        <v/>
      </c>
      <c r="AI45" s="48" t="str">
        <f>IF(AND('Mapa final'!$AD$67="Baja",'Mapa final'!$AF$67="Catastrófico"),CONCATENATE("R10C",'Mapa final'!$T$67),"")</f>
        <v/>
      </c>
      <c r="AJ45" s="48" t="str">
        <f>IF(AND('Mapa final'!$AD$68="Baja",'Mapa final'!$AF$68="Catastrófico"),CONCATENATE("R10C",'Mapa final'!$T$68),"")</f>
        <v/>
      </c>
      <c r="AK45" s="48" t="str">
        <f>IF(AND('Mapa final'!$AD$69="Baja",'Mapa final'!$AF$69="Catastrófico"),CONCATENATE("R10C",'Mapa final'!$T$69),"")</f>
        <v/>
      </c>
      <c r="AL45" s="48" t="str">
        <f>IF(AND('Mapa final'!$AD$70="Baja",'Mapa final'!$AF$70="Catastrófico"),CONCATENATE("R10C",'Mapa final'!$T$70),"")</f>
        <v/>
      </c>
      <c r="AM45" s="49" t="str">
        <f>IF(AND('Mapa final'!$AD$71="Baja",'Mapa final'!$AF$71="Catastrófico"),CONCATENATE("R10C",'Mapa final'!$T$71),"")</f>
        <v/>
      </c>
      <c r="AN45" s="69"/>
      <c r="AO45" s="525"/>
      <c r="AP45" s="526"/>
      <c r="AQ45" s="526"/>
      <c r="AR45" s="526"/>
      <c r="AS45" s="526"/>
      <c r="AT45" s="527"/>
    </row>
    <row r="46" spans="1:80" ht="46.5" customHeight="1" x14ac:dyDescent="0.35">
      <c r="A46" s="69"/>
      <c r="B46" s="450"/>
      <c r="C46" s="450"/>
      <c r="D46" s="451"/>
      <c r="E46" s="488" t="s">
        <v>113</v>
      </c>
      <c r="F46" s="489"/>
      <c r="G46" s="489"/>
      <c r="H46" s="489"/>
      <c r="I46" s="490"/>
      <c r="J46" s="59" t="str">
        <f>IF(AND('Mapa final'!$AD$12="Muy Baja",'Mapa final'!$AF$12="Leve"),CONCATENATE("R1C",'Mapa final'!$T$12),"")</f>
        <v/>
      </c>
      <c r="K46" s="60" t="str">
        <f>IF(AND('Mapa final'!$AD$13="Muy Baja",'Mapa final'!$AF$13="Leve"),CONCATENATE("R1C",'Mapa final'!$T$13),"")</f>
        <v/>
      </c>
      <c r="L46" s="60" t="str">
        <f>IF(AND('Mapa final'!$AD$14="Muy Baja",'Mapa final'!$AF$14="Leve"),CONCATENATE("R1C",'Mapa final'!$T$14),"")</f>
        <v/>
      </c>
      <c r="M46" s="60" t="str">
        <f>IF(AND('Mapa final'!$AD$15="Muy Baja",'Mapa final'!$AF$15="Leve"),CONCATENATE("R1C",'Mapa final'!$T$15),"")</f>
        <v/>
      </c>
      <c r="N46" s="60" t="str">
        <f>IF(AND('Mapa final'!$AD$16="Muy Baja",'Mapa final'!$AF$16="Leve"),CONCATENATE("R1C",'Mapa final'!$T$16),"")</f>
        <v/>
      </c>
      <c r="O46" s="61" t="str">
        <f>IF(AND('Mapa final'!$AD$17="Muy Baja",'Mapa final'!$AF$17="Leve"),CONCATENATE("R1C",'Mapa final'!$T$17),"")</f>
        <v/>
      </c>
      <c r="P46" s="59" t="str">
        <f>IF(AND('Mapa final'!$AD$12="Muy Baja",'Mapa final'!$AF$12="Menor"),CONCATENATE("R1C",'Mapa final'!$T$12),"")</f>
        <v/>
      </c>
      <c r="Q46" s="60" t="str">
        <f>IF(AND('Mapa final'!$AD$13="Muy Baja",'Mapa final'!$AF$13="Menor"),CONCATENATE("R1C",'Mapa final'!$T$13),"")</f>
        <v/>
      </c>
      <c r="R46" s="60" t="str">
        <f>IF(AND('Mapa final'!$AD$14="Muy Baja",'Mapa final'!$AF$14="Menor"),CONCATENATE("R1C",'Mapa final'!$T$14),"")</f>
        <v/>
      </c>
      <c r="S46" s="60" t="str">
        <f>IF(AND('Mapa final'!$AD$15="Muy Baja",'Mapa final'!$AF$15="Menor"),CONCATENATE("R1C",'Mapa final'!$T$15),"")</f>
        <v/>
      </c>
      <c r="T46" s="60" t="str">
        <f>IF(AND('Mapa final'!$AD$16="Muy Baja",'Mapa final'!$AF$16="Menor"),CONCATENATE("R1C",'Mapa final'!$T$16),"")</f>
        <v/>
      </c>
      <c r="U46" s="61" t="str">
        <f>IF(AND('Mapa final'!$AD$17="Muy Baja",'Mapa final'!$AF$17="Menor"),CONCATENATE("R1C",'Mapa final'!$T$17),"")</f>
        <v/>
      </c>
      <c r="V46" s="50" t="str">
        <f>IF(AND('Mapa final'!$AD$12="Muy Baja",'Mapa final'!$AF$12="Moderado"),CONCATENATE("R1C",'Mapa final'!$T$12),"")</f>
        <v/>
      </c>
      <c r="W46" s="68" t="str">
        <f>IF(AND('Mapa final'!$AD$13="Muy Baja",'Mapa final'!$AF$13="Moderado"),CONCATENATE("R1C",'Mapa final'!$T$13),"")</f>
        <v/>
      </c>
      <c r="X46" s="51" t="str">
        <f>IF(AND('Mapa final'!$AD$14="Muy Baja",'Mapa final'!$AF$14="Moderado"),CONCATENATE("R1C",'Mapa final'!$T$14),"")</f>
        <v/>
      </c>
      <c r="Y46" s="51" t="str">
        <f>IF(AND('Mapa final'!$AD$15="Muy Baja",'Mapa final'!$AF$15="Moderado"),CONCATENATE("R1C",'Mapa final'!$T$15),"")</f>
        <v/>
      </c>
      <c r="Z46" s="51" t="str">
        <f>IF(AND('Mapa final'!$AD$16="Muy Baja",'Mapa final'!$AF$16="Moderado"),CONCATENATE("R1C",'Mapa final'!$T$16),"")</f>
        <v/>
      </c>
      <c r="AA46" s="52" t="str">
        <f>IF(AND('Mapa final'!$AD$17="Muy Baja",'Mapa final'!$AF$17="Moderado"),CONCATENATE("R1C",'Mapa final'!$T$17),"")</f>
        <v/>
      </c>
      <c r="AB46" s="32" t="str">
        <f>IF(AND('Mapa final'!$AD$12="Muy Baja",'Mapa final'!$AF$12="Mayor"),CONCATENATE("R1C",'Mapa final'!$T$12),"")</f>
        <v/>
      </c>
      <c r="AC46" s="33" t="str">
        <f>IF(AND('Mapa final'!$AD$13="Muy Baja",'Mapa final'!$AF$13="Mayor"),CONCATENATE("R1C",'Mapa final'!$T$13),"")</f>
        <v>R1C2</v>
      </c>
      <c r="AD46" s="33" t="str">
        <f>IF(AND('Mapa final'!$AD$14="Muy Baja",'Mapa final'!$AF$14="Mayor"),CONCATENATE("R1C",'Mapa final'!$T$14),"")</f>
        <v>R1C3</v>
      </c>
      <c r="AE46" s="33" t="str">
        <f>IF(AND('Mapa final'!$AD$15="Muy Baja",'Mapa final'!$AF$15="Mayor"),CONCATENATE("R1C",'Mapa final'!$T$15),"")</f>
        <v>R1C4</v>
      </c>
      <c r="AF46" s="33" t="str">
        <f>IF(AND('Mapa final'!$AD$16="Muy Baja",'Mapa final'!$AF$16="Mayor"),CONCATENATE("R1C",'Mapa final'!$T$16),"")</f>
        <v/>
      </c>
      <c r="AG46" s="34" t="str">
        <f>IF(AND('Mapa final'!$AD$17="Muy Baja",'Mapa final'!$AF$17="Mayor"),CONCATENATE("R1C",'Mapa final'!$T$17),"")</f>
        <v/>
      </c>
      <c r="AH46" s="35" t="str">
        <f>IF(AND('Mapa final'!$AD$12="Muy Baja",'Mapa final'!$AF$12="Catastrófico"),CONCATENATE("R1C",'Mapa final'!$T$12),"")</f>
        <v/>
      </c>
      <c r="AI46" s="36" t="str">
        <f>IF(AND('Mapa final'!$AD$13="Muy Baja",'Mapa final'!$AF$13="Catastrófico"),CONCATENATE("R1C",'Mapa final'!$T$13),"")</f>
        <v/>
      </c>
      <c r="AJ46" s="36" t="str">
        <f>IF(AND('Mapa final'!$AD$14="Muy Baja",'Mapa final'!$AF$14="Catastrófico"),CONCATENATE("R1C",'Mapa final'!$T$14),"")</f>
        <v/>
      </c>
      <c r="AK46" s="36" t="str">
        <f>IF(AND('Mapa final'!$AD$15="Muy Baja",'Mapa final'!$AF$15="Catastrófico"),CONCATENATE("R1C",'Mapa final'!$T$15),"")</f>
        <v/>
      </c>
      <c r="AL46" s="36" t="str">
        <f>IF(AND('Mapa final'!$AD$16="Muy Baja",'Mapa final'!$AF$16="Catastrófico"),CONCATENATE("R1C",'Mapa final'!$T$16),"")</f>
        <v/>
      </c>
      <c r="AM46" s="37" t="str">
        <f>IF(AND('Mapa final'!$AD$17="Muy Baja",'Mapa final'!$AF$17="Catastrófico"),CONCATENATE("R1C",'Mapa final'!$T$17),"")</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450"/>
      <c r="C47" s="450"/>
      <c r="D47" s="451"/>
      <c r="E47" s="507"/>
      <c r="F47" s="492"/>
      <c r="G47" s="492"/>
      <c r="H47" s="492"/>
      <c r="I47" s="493"/>
      <c r="J47" s="62" t="str">
        <f>IF(AND('Mapa final'!$AD$18="Muy Baja",'Mapa final'!$AF$18="Leve"),CONCATENATE("R2C",'Mapa final'!$T$18),"")</f>
        <v/>
      </c>
      <c r="K47" s="63" t="str">
        <f>IF(AND('Mapa final'!$AD$19="Muy Baja",'Mapa final'!$AF$19="Leve"),CONCATENATE("R2C",'Mapa final'!$T$19),"")</f>
        <v/>
      </c>
      <c r="L47" s="63" t="str">
        <f>IF(AND('Mapa final'!$AD$20="Muy Baja",'Mapa final'!$AF$20="Leve"),CONCATENATE("R2C",'Mapa final'!$T$20),"")</f>
        <v/>
      </c>
      <c r="M47" s="63" t="str">
        <f>IF(AND('Mapa final'!$AD$21="Muy Baja",'Mapa final'!$AF$21="Leve"),CONCATENATE("R2C",'Mapa final'!$T$21),"")</f>
        <v/>
      </c>
      <c r="N47" s="63" t="str">
        <f>IF(AND('Mapa final'!$AD$22="Muy Baja",'Mapa final'!$AF$22="Leve"),CONCATENATE("R2C",'Mapa final'!$T$22),"")</f>
        <v/>
      </c>
      <c r="O47" s="64" t="str">
        <f>IF(AND('Mapa final'!$AD$23="Muy Baja",'Mapa final'!$AF$23="Leve"),CONCATENATE("R2C",'Mapa final'!$T$23),"")</f>
        <v/>
      </c>
      <c r="P47" s="62" t="str">
        <f>IF(AND('Mapa final'!$AD$18="Muy Baja",'Mapa final'!$AF$18="Menor"),CONCATENATE("R2C",'Mapa final'!$T$18),"")</f>
        <v/>
      </c>
      <c r="Q47" s="63" t="str">
        <f>IF(AND('Mapa final'!$AD$19="Muy Baja",'Mapa final'!$AF$19="Menor"),CONCATENATE("R2C",'Mapa final'!$T$19),"")</f>
        <v/>
      </c>
      <c r="R47" s="63" t="str">
        <f>IF(AND('Mapa final'!$AD$20="Muy Baja",'Mapa final'!$AF$20="Menor"),CONCATENATE("R2C",'Mapa final'!$T$20),"")</f>
        <v/>
      </c>
      <c r="S47" s="63" t="str">
        <f>IF(AND('Mapa final'!$AD$21="Muy Baja",'Mapa final'!$AF$21="Menor"),CONCATENATE("R2C",'Mapa final'!$T$21),"")</f>
        <v/>
      </c>
      <c r="T47" s="63" t="str">
        <f>IF(AND('Mapa final'!$AD$22="Muy Baja",'Mapa final'!$AF$22="Menor"),CONCATENATE("R2C",'Mapa final'!$T$22),"")</f>
        <v/>
      </c>
      <c r="U47" s="64" t="str">
        <f>IF(AND('Mapa final'!$AD$23="Muy Baja",'Mapa final'!$AF$23="Menor"),CONCATENATE("R2C",'Mapa final'!$T$23),"")</f>
        <v/>
      </c>
      <c r="V47" s="53" t="str">
        <f>IF(AND('Mapa final'!$AD$18="Muy Baja",'Mapa final'!$AF$18="Moderado"),CONCATENATE("R2C",'Mapa final'!$T$18),"")</f>
        <v/>
      </c>
      <c r="W47" s="54" t="str">
        <f>IF(AND('Mapa final'!$AD$19="Muy Baja",'Mapa final'!$AF$19="Moderado"),CONCATENATE("R2C",'Mapa final'!$T$19),"")</f>
        <v/>
      </c>
      <c r="X47" s="54" t="str">
        <f>IF(AND('Mapa final'!$AD$20="Muy Baja",'Mapa final'!$AF$20="Moderado"),CONCATENATE("R2C",'Mapa final'!$T$20),"")</f>
        <v/>
      </c>
      <c r="Y47" s="54" t="str">
        <f>IF(AND('Mapa final'!$AD$21="Muy Baja",'Mapa final'!$AF$21="Moderado"),CONCATENATE("R2C",'Mapa final'!$T$21),"")</f>
        <v/>
      </c>
      <c r="Z47" s="54" t="str">
        <f>IF(AND('Mapa final'!$AD$22="Muy Baja",'Mapa final'!$AF$22="Moderado"),CONCATENATE("R2C",'Mapa final'!$T$22),"")</f>
        <v/>
      </c>
      <c r="AA47" s="55" t="str">
        <f>IF(AND('Mapa final'!$AD$23="Muy Baja",'Mapa final'!$AF$23="Moderado"),CONCATENATE("R2C",'Mapa final'!$T$23),"")</f>
        <v/>
      </c>
      <c r="AB47" s="38" t="str">
        <f>IF(AND('Mapa final'!$AD$18="Muy Baja",'Mapa final'!$AF$18="Mayor"),CONCATENATE("R2C",'Mapa final'!$T$18),"")</f>
        <v/>
      </c>
      <c r="AC47" s="39" t="str">
        <f>IF(AND('Mapa final'!$AD$19="Muy Baja",'Mapa final'!$AF$19="Mayor"),CONCATENATE("R2C",'Mapa final'!$T$19),"")</f>
        <v/>
      </c>
      <c r="AD47" s="39" t="str">
        <f>IF(AND('Mapa final'!$AD$20="Muy Baja",'Mapa final'!$AF$20="Mayor"),CONCATENATE("R2C",'Mapa final'!$T$20),"")</f>
        <v/>
      </c>
      <c r="AE47" s="39" t="str">
        <f>IF(AND('Mapa final'!$AD$21="Muy Baja",'Mapa final'!$AF$21="Mayor"),CONCATENATE("R2C",'Mapa final'!$T$21),"")</f>
        <v/>
      </c>
      <c r="AF47" s="39" t="str">
        <f>IF(AND('Mapa final'!$AD$22="Muy Baja",'Mapa final'!$AF$22="Mayor"),CONCATENATE("R2C",'Mapa final'!$T$22),"")</f>
        <v/>
      </c>
      <c r="AG47" s="40" t="str">
        <f>IF(AND('Mapa final'!$AD$23="Muy Baja",'Mapa final'!$AF$23="Mayor"),CONCATENATE("R2C",'Mapa final'!$T$23),"")</f>
        <v/>
      </c>
      <c r="AH47" s="41" t="str">
        <f>IF(AND('Mapa final'!$AD$18="Muy Baja",'Mapa final'!$AF$18="Catastrófico"),CONCATENATE("R2C",'Mapa final'!$T$18),"")</f>
        <v/>
      </c>
      <c r="AI47" s="42" t="str">
        <f>IF(AND('Mapa final'!$AD$19="Muy Baja",'Mapa final'!$AF$19="Catastrófico"),CONCATENATE("R2C",'Mapa final'!$T$19),"")</f>
        <v/>
      </c>
      <c r="AJ47" s="42" t="str">
        <f>IF(AND('Mapa final'!$AD$20="Muy Baja",'Mapa final'!$AF$20="Catastrófico"),CONCATENATE("R2C",'Mapa final'!$T$20),"")</f>
        <v>R2C3</v>
      </c>
      <c r="AK47" s="42" t="str">
        <f>IF(AND('Mapa final'!$AD$21="Muy Baja",'Mapa final'!$AF$21="Catastrófico"),CONCATENATE("R2C",'Mapa final'!$T$21),"")</f>
        <v>R2C4</v>
      </c>
      <c r="AL47" s="42" t="str">
        <f>IF(AND('Mapa final'!$AD$22="Muy Baja",'Mapa final'!$AF$22="Catastrófico"),CONCATENATE("R2C",'Mapa final'!$T$22),"")</f>
        <v>R2C5</v>
      </c>
      <c r="AM47" s="43" t="str">
        <f>IF(AND('Mapa final'!$AD$23="Muy Baja",'Mapa final'!$AF$23="Catastrófico"),CONCATENATE("R2C",'Mapa final'!$T$23),"")</f>
        <v>R2C6</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450"/>
      <c r="C48" s="450"/>
      <c r="D48" s="451"/>
      <c r="E48" s="507"/>
      <c r="F48" s="492"/>
      <c r="G48" s="492"/>
      <c r="H48" s="492"/>
      <c r="I48" s="493"/>
      <c r="J48" s="62" t="str">
        <f>IF(AND('Mapa final'!$AD$24="Muy Baja",'Mapa final'!$AF$24="Leve"),CONCATENATE("R3C",'Mapa final'!$T$24),"")</f>
        <v/>
      </c>
      <c r="K48" s="63" t="str">
        <f>IF(AND('Mapa final'!$AD$25="Muy Baja",'Mapa final'!$AF$25="Leve"),CONCATENATE("R3C",'Mapa final'!$T$25),"")</f>
        <v/>
      </c>
      <c r="L48" s="63" t="str">
        <f>IF(AND('Mapa final'!$AD$26="Muy Baja",'Mapa final'!$AF$26="Leve"),CONCATENATE("R3C",'Mapa final'!$T$26),"")</f>
        <v/>
      </c>
      <c r="M48" s="63" t="str">
        <f>IF(AND('Mapa final'!$AD$27="Muy Baja",'Mapa final'!$AF$27="Leve"),CONCATENATE("R3C",'Mapa final'!$T$27),"")</f>
        <v/>
      </c>
      <c r="N48" s="63" t="str">
        <f>IF(AND('Mapa final'!$AD$28="Muy Baja",'Mapa final'!$AF$28="Leve"),CONCATENATE("R3C",'Mapa final'!$T$28),"")</f>
        <v/>
      </c>
      <c r="O48" s="64" t="str">
        <f>IF(AND('Mapa final'!$AD$29="Muy Baja",'Mapa final'!$AF$29="Leve"),CONCATENATE("R3C",'Mapa final'!$T$29),"")</f>
        <v/>
      </c>
      <c r="P48" s="62" t="str">
        <f>IF(AND('Mapa final'!$AD$24="Muy Baja",'Mapa final'!$AF$24="Menor"),CONCATENATE("R3C",'Mapa final'!$T$24),"")</f>
        <v/>
      </c>
      <c r="Q48" s="63" t="str">
        <f>IF(AND('Mapa final'!$AD$25="Muy Baja",'Mapa final'!$AF$25="Menor"),CONCATENATE("R3C",'Mapa final'!$T$25),"")</f>
        <v/>
      </c>
      <c r="R48" s="63" t="str">
        <f>IF(AND('Mapa final'!$AD$26="Muy Baja",'Mapa final'!$AF$26="Menor"),CONCATENATE("R3C",'Mapa final'!$T$26),"")</f>
        <v/>
      </c>
      <c r="S48" s="63" t="str">
        <f>IF(AND('Mapa final'!$AD$27="Muy Baja",'Mapa final'!$AF$27="Menor"),CONCATENATE("R3C",'Mapa final'!$T$27),"")</f>
        <v/>
      </c>
      <c r="T48" s="63" t="str">
        <f>IF(AND('Mapa final'!$AD$28="Muy Baja",'Mapa final'!$AF$28="Menor"),CONCATENATE("R3C",'Mapa final'!$T$28),"")</f>
        <v/>
      </c>
      <c r="U48" s="64" t="str">
        <f>IF(AND('Mapa final'!$AD$29="Muy Baja",'Mapa final'!$AF$29="Menor"),CONCATENATE("R3C",'Mapa final'!$T$29),"")</f>
        <v/>
      </c>
      <c r="V48" s="53" t="str">
        <f>IF(AND('Mapa final'!$AD$24="Muy Baja",'Mapa final'!$AF$24="Moderado"),CONCATENATE("R3C",'Mapa final'!$T$24),"")</f>
        <v/>
      </c>
      <c r="W48" s="54" t="str">
        <f>IF(AND('Mapa final'!$AD$25="Muy Baja",'Mapa final'!$AF$25="Moderado"),CONCATENATE("R3C",'Mapa final'!$T$25),"")</f>
        <v/>
      </c>
      <c r="X48" s="54" t="str">
        <f>IF(AND('Mapa final'!$AD$26="Muy Baja",'Mapa final'!$AF$26="Moderado"),CONCATENATE("R3C",'Mapa final'!$T$26),"")</f>
        <v/>
      </c>
      <c r="Y48" s="54" t="str">
        <f>IF(AND('Mapa final'!$AD$27="Muy Baja",'Mapa final'!$AF$27="Moderado"),CONCATENATE("R3C",'Mapa final'!$T$27),"")</f>
        <v/>
      </c>
      <c r="Z48" s="54" t="str">
        <f>IF(AND('Mapa final'!$AD$28="Muy Baja",'Mapa final'!$AF$28="Moderado"),CONCATENATE("R3C",'Mapa final'!$T$28),"")</f>
        <v/>
      </c>
      <c r="AA48" s="55" t="str">
        <f>IF(AND('Mapa final'!$AD$29="Muy Baja",'Mapa final'!$AF$29="Moderado"),CONCATENATE("R3C",'Mapa final'!$T$29),"")</f>
        <v/>
      </c>
      <c r="AB48" s="38" t="str">
        <f>IF(AND('Mapa final'!$AD$24="Muy Baja",'Mapa final'!$AF$24="Mayor"),CONCATENATE("R3C",'Mapa final'!$T$24),"")</f>
        <v/>
      </c>
      <c r="AC48" s="39" t="str">
        <f>IF(AND('Mapa final'!$AD$25="Muy Baja",'Mapa final'!$AF$25="Mayor"),CONCATENATE("R3C",'Mapa final'!$T$25),"")</f>
        <v/>
      </c>
      <c r="AD48" s="39" t="str">
        <f>IF(AND('Mapa final'!$AD$26="Muy Baja",'Mapa final'!$AF$26="Mayor"),CONCATENATE("R3C",'Mapa final'!$T$26),"")</f>
        <v/>
      </c>
      <c r="AE48" s="39" t="str">
        <f>IF(AND('Mapa final'!$AD$27="Muy Baja",'Mapa final'!$AF$27="Mayor"),CONCATENATE("R3C",'Mapa final'!$T$27),"")</f>
        <v/>
      </c>
      <c r="AF48" s="39" t="str">
        <f>IF(AND('Mapa final'!$AD$28="Muy Baja",'Mapa final'!$AF$28="Mayor"),CONCATENATE("R3C",'Mapa final'!$T$28),"")</f>
        <v/>
      </c>
      <c r="AG48" s="40" t="str">
        <f>IF(AND('Mapa final'!$AD$29="Muy Baja",'Mapa final'!$AF$29="Mayor"),CONCATENATE("R3C",'Mapa final'!$T$29),"")</f>
        <v/>
      </c>
      <c r="AH48" s="41" t="str">
        <f>IF(AND('Mapa final'!$AD$24="Muy Baja",'Mapa final'!$AF$24="Catastrófico"),CONCATENATE("R3C",'Mapa final'!$T$24),"")</f>
        <v/>
      </c>
      <c r="AI48" s="42" t="str">
        <f>IF(AND('Mapa final'!$AD$25="Muy Baja",'Mapa final'!$AF$25="Catastrófico"),CONCATENATE("R3C",'Mapa final'!$T$25),"")</f>
        <v/>
      </c>
      <c r="AJ48" s="42" t="str">
        <f>IF(AND('Mapa final'!$AD$26="Muy Baja",'Mapa final'!$AF$26="Catastrófico"),CONCATENATE("R3C",'Mapa final'!$T$26),"")</f>
        <v/>
      </c>
      <c r="AK48" s="42" t="str">
        <f>IF(AND('Mapa final'!$AD$27="Muy Baja",'Mapa final'!$AF$27="Catastrófico"),CONCATENATE("R3C",'Mapa final'!$T$27),"")</f>
        <v/>
      </c>
      <c r="AL48" s="42" t="str">
        <f>IF(AND('Mapa final'!$AD$28="Muy Baja",'Mapa final'!$AF$28="Catastrófico"),CONCATENATE("R3C",'Mapa final'!$T$28),"")</f>
        <v/>
      </c>
      <c r="AM48" s="43" t="str">
        <f>IF(AND('Mapa final'!$AD$29="Muy Baja",'Mapa final'!$AF$29="Catastrófico"),CONCATENATE("R3C",'Mapa final'!$T$29),"")</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450"/>
      <c r="C49" s="450"/>
      <c r="D49" s="451"/>
      <c r="E49" s="491"/>
      <c r="F49" s="492"/>
      <c r="G49" s="492"/>
      <c r="H49" s="492"/>
      <c r="I49" s="493"/>
      <c r="J49" s="62" t="str">
        <f>IF(AND('Mapa final'!$AD$30="Muy Baja",'Mapa final'!$AF$30="Leve"),CONCATENATE("R4C",'Mapa final'!$T$30),"")</f>
        <v/>
      </c>
      <c r="K49" s="63" t="str">
        <f>IF(AND('Mapa final'!$AD$31="Muy Baja",'Mapa final'!$AF$31="Leve"),CONCATENATE("R4C",'Mapa final'!$T$31),"")</f>
        <v/>
      </c>
      <c r="L49" s="63" t="str">
        <f>IF(AND('Mapa final'!$AD$32="Muy Baja",'Mapa final'!$AF$32="Leve"),CONCATENATE("R4C",'Mapa final'!$T$32),"")</f>
        <v/>
      </c>
      <c r="M49" s="63" t="str">
        <f>IF(AND('Mapa final'!$AD$33="Muy Baja",'Mapa final'!$AF$33="Leve"),CONCATENATE("R4C",'Mapa final'!$T$33),"")</f>
        <v/>
      </c>
      <c r="N49" s="63" t="str">
        <f>IF(AND('Mapa final'!$AD$34="Muy Baja",'Mapa final'!$AF$34="Leve"),CONCATENATE("R4C",'Mapa final'!$T$34),"")</f>
        <v/>
      </c>
      <c r="O49" s="64" t="str">
        <f>IF(AND('Mapa final'!$AD$35="Muy Baja",'Mapa final'!$AF$35="Leve"),CONCATENATE("R4C",'Mapa final'!$T$35),"")</f>
        <v/>
      </c>
      <c r="P49" s="62" t="str">
        <f>IF(AND('Mapa final'!$AD$30="Muy Baja",'Mapa final'!$AF$30="Menor"),CONCATENATE("R4C",'Mapa final'!$T$30),"")</f>
        <v/>
      </c>
      <c r="Q49" s="63" t="str">
        <f>IF(AND('Mapa final'!$AD$31="Muy Baja",'Mapa final'!$AF$31="Menor"),CONCATENATE("R4C",'Mapa final'!$T$31),"")</f>
        <v/>
      </c>
      <c r="R49" s="63" t="str">
        <f>IF(AND('Mapa final'!$AD$32="Muy Baja",'Mapa final'!$AF$32="Menor"),CONCATENATE("R4C",'Mapa final'!$T$32),"")</f>
        <v/>
      </c>
      <c r="S49" s="63" t="str">
        <f>IF(AND('Mapa final'!$AD$33="Muy Baja",'Mapa final'!$AF$33="Menor"),CONCATENATE("R4C",'Mapa final'!$T$33),"")</f>
        <v/>
      </c>
      <c r="T49" s="63" t="str">
        <f>IF(AND('Mapa final'!$AD$34="Muy Baja",'Mapa final'!$AF$34="Menor"),CONCATENATE("R4C",'Mapa final'!$T$34),"")</f>
        <v/>
      </c>
      <c r="U49" s="64" t="str">
        <f>IF(AND('Mapa final'!$AD$35="Muy Baja",'Mapa final'!$AF$35="Menor"),CONCATENATE("R4C",'Mapa final'!$T$35),"")</f>
        <v/>
      </c>
      <c r="V49" s="53" t="str">
        <f>IF(AND('Mapa final'!$AD$30="Muy Baja",'Mapa final'!$AF$30="Moderado"),CONCATENATE("R4C",'Mapa final'!$T$30),"")</f>
        <v/>
      </c>
      <c r="W49" s="54" t="str">
        <f>IF(AND('Mapa final'!$AD$31="Muy Baja",'Mapa final'!$AF$31="Moderado"),CONCATENATE("R4C",'Mapa final'!$T$31),"")</f>
        <v/>
      </c>
      <c r="X49" s="54" t="str">
        <f>IF(AND('Mapa final'!$AD$32="Muy Baja",'Mapa final'!$AF$32="Moderado"),CONCATENATE("R4C",'Mapa final'!$T$32),"")</f>
        <v/>
      </c>
      <c r="Y49" s="54" t="str">
        <f>IF(AND('Mapa final'!$AD$33="Muy Baja",'Mapa final'!$AF$33="Moderado"),CONCATENATE("R4C",'Mapa final'!$T$33),"")</f>
        <v/>
      </c>
      <c r="Z49" s="54" t="str">
        <f>IF(AND('Mapa final'!$AD$34="Muy Baja",'Mapa final'!$AF$34="Moderado"),CONCATENATE("R4C",'Mapa final'!$T$34),"")</f>
        <v/>
      </c>
      <c r="AA49" s="55" t="str">
        <f>IF(AND('Mapa final'!$AD$35="Muy Baja",'Mapa final'!$AF$35="Moderado"),CONCATENATE("R4C",'Mapa final'!$T$35),"")</f>
        <v/>
      </c>
      <c r="AB49" s="38" t="str">
        <f>IF(AND('Mapa final'!$AD$30="Muy Baja",'Mapa final'!$AF$30="Mayor"),CONCATENATE("R4C",'Mapa final'!$T$30),"")</f>
        <v/>
      </c>
      <c r="AC49" s="39" t="str">
        <f>IF(AND('Mapa final'!$AD$31="Muy Baja",'Mapa final'!$AF$31="Mayor"),CONCATENATE("R4C",'Mapa final'!$T$31),"")</f>
        <v>R4C2</v>
      </c>
      <c r="AD49" s="39" t="str">
        <f>IF(AND('Mapa final'!$AD$32="Muy Baja",'Mapa final'!$AF$32="Mayor"),CONCATENATE("R4C",'Mapa final'!$T$32),"")</f>
        <v>R4C3</v>
      </c>
      <c r="AE49" s="39" t="str">
        <f>IF(AND('Mapa final'!$AD$33="Muy Baja",'Mapa final'!$AF$33="Mayor"),CONCATENATE("R4C",'Mapa final'!$T$33),"")</f>
        <v>R4C4</v>
      </c>
      <c r="AF49" s="39" t="str">
        <f>IF(AND('Mapa final'!$AD$34="Muy Baja",'Mapa final'!$AF$34="Mayor"),CONCATENATE("R4C",'Mapa final'!$T$34),"")</f>
        <v>R4C5</v>
      </c>
      <c r="AG49" s="40" t="str">
        <f>IF(AND('Mapa final'!$AD$35="Muy Baja",'Mapa final'!$AF$35="Mayor"),CONCATENATE("R4C",'Mapa final'!$T$35),"")</f>
        <v/>
      </c>
      <c r="AH49" s="41" t="str">
        <f>IF(AND('Mapa final'!$AD$30="Muy Baja",'Mapa final'!$AF$30="Catastrófico"),CONCATENATE("R4C",'Mapa final'!$T$30),"")</f>
        <v/>
      </c>
      <c r="AI49" s="42" t="str">
        <f>IF(AND('Mapa final'!$AD$31="Muy Baja",'Mapa final'!$AF$31="Catastrófico"),CONCATENATE("R4C",'Mapa final'!$T$31),"")</f>
        <v/>
      </c>
      <c r="AJ49" s="42" t="str">
        <f>IF(AND('Mapa final'!$AD$32="Muy Baja",'Mapa final'!$AF$32="Catastrófico"),CONCATENATE("R4C",'Mapa final'!$T$32),"")</f>
        <v/>
      </c>
      <c r="AK49" s="42" t="str">
        <f>IF(AND('Mapa final'!$AD$33="Muy Baja",'Mapa final'!$AF$33="Catastrófico"),CONCATENATE("R4C",'Mapa final'!$T$33),"")</f>
        <v/>
      </c>
      <c r="AL49" s="42" t="str">
        <f>IF(AND('Mapa final'!$AD$34="Muy Baja",'Mapa final'!$AF$34="Catastrófico"),CONCATENATE("R4C",'Mapa final'!$T$34),"")</f>
        <v/>
      </c>
      <c r="AM49" s="43" t="str">
        <f>IF(AND('Mapa final'!$AD$35="Muy Baja",'Mapa final'!$AF$35="Catastrófico"),CONCATENATE("R4C",'Mapa final'!$T$35),"")</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450"/>
      <c r="C50" s="450"/>
      <c r="D50" s="451"/>
      <c r="E50" s="491"/>
      <c r="F50" s="492"/>
      <c r="G50" s="492"/>
      <c r="H50" s="492"/>
      <c r="I50" s="493"/>
      <c r="J50" s="62" t="str">
        <f>IF(AND('Mapa final'!$AD$36="Muy Baja",'Mapa final'!$AF$36="Leve"),CONCATENATE("R5C",'Mapa final'!$T$36),"")</f>
        <v/>
      </c>
      <c r="K50" s="63" t="str">
        <f>IF(AND('Mapa final'!$AD$37="Muy Baja",'Mapa final'!$AF$37="Leve"),CONCATENATE("R5C",'Mapa final'!$T$37),"")</f>
        <v/>
      </c>
      <c r="L50" s="63" t="str">
        <f>IF(AND('Mapa final'!$AD$38="Muy Baja",'Mapa final'!$AF$38="Leve"),CONCATENATE("R5C",'Mapa final'!$T$38),"")</f>
        <v/>
      </c>
      <c r="M50" s="63" t="str">
        <f>IF(AND('Mapa final'!$AD$39="Muy Baja",'Mapa final'!$AF$39="Leve"),CONCATENATE("R5C",'Mapa final'!$T$39),"")</f>
        <v/>
      </c>
      <c r="N50" s="63" t="str">
        <f>IF(AND('Mapa final'!$AD$40="Muy Baja",'Mapa final'!$AF$40="Leve"),CONCATENATE("R5C",'Mapa final'!$T$40),"")</f>
        <v/>
      </c>
      <c r="O50" s="64" t="str">
        <f>IF(AND('Mapa final'!$AD$41="Muy Baja",'Mapa final'!$AF$41="Leve"),CONCATENATE("R5C",'Mapa final'!$T$41),"")</f>
        <v/>
      </c>
      <c r="P50" s="62" t="str">
        <f>IF(AND('Mapa final'!$AD$36="Muy Baja",'Mapa final'!$AF$36="Menor"),CONCATENATE("R5C",'Mapa final'!$T$36),"")</f>
        <v/>
      </c>
      <c r="Q50" s="63" t="str">
        <f>IF(AND('Mapa final'!$AD$37="Muy Baja",'Mapa final'!$AF$37="Menor"),CONCATENATE("R5C",'Mapa final'!$T$37),"")</f>
        <v/>
      </c>
      <c r="R50" s="63" t="str">
        <f>IF(AND('Mapa final'!$AD$38="Muy Baja",'Mapa final'!$AF$38="Menor"),CONCATENATE("R5C",'Mapa final'!$T$38),"")</f>
        <v/>
      </c>
      <c r="S50" s="63" t="str">
        <f>IF(AND('Mapa final'!$AD$39="Muy Baja",'Mapa final'!$AF$39="Menor"),CONCATENATE("R5C",'Mapa final'!$T$39),"")</f>
        <v/>
      </c>
      <c r="T50" s="63" t="str">
        <f>IF(AND('Mapa final'!$AD$40="Muy Baja",'Mapa final'!$AF$40="Menor"),CONCATENATE("R5C",'Mapa final'!$T$40),"")</f>
        <v/>
      </c>
      <c r="U50" s="64" t="str">
        <f>IF(AND('Mapa final'!$AD$41="Muy Baja",'Mapa final'!$AF$41="Menor"),CONCATENATE("R5C",'Mapa final'!$T$41),"")</f>
        <v/>
      </c>
      <c r="V50" s="53" t="str">
        <f>IF(AND('Mapa final'!$AD$36="Muy Baja",'Mapa final'!$AF$36="Moderado"),CONCATENATE("R5C",'Mapa final'!$T$36),"")</f>
        <v/>
      </c>
      <c r="W50" s="54" t="str">
        <f>IF(AND('Mapa final'!$AD$37="Muy Baja",'Mapa final'!$AF$37="Moderado"),CONCATENATE("R5C",'Mapa final'!$T$37),"")</f>
        <v/>
      </c>
      <c r="X50" s="54" t="str">
        <f>IF(AND('Mapa final'!$AD$38="Muy Baja",'Mapa final'!$AF$38="Moderado"),CONCATENATE("R5C",'Mapa final'!$T$38),"")</f>
        <v/>
      </c>
      <c r="Y50" s="54" t="str">
        <f>IF(AND('Mapa final'!$AD$39="Muy Baja",'Mapa final'!$AF$39="Moderado"),CONCATENATE("R5C",'Mapa final'!$T$39),"")</f>
        <v/>
      </c>
      <c r="Z50" s="54" t="str">
        <f>IF(AND('Mapa final'!$AD$40="Muy Baja",'Mapa final'!$AF$40="Moderado"),CONCATENATE("R5C",'Mapa final'!$T$40),"")</f>
        <v/>
      </c>
      <c r="AA50" s="55" t="str">
        <f>IF(AND('Mapa final'!$AD$41="Muy Baja",'Mapa final'!$AF$41="Moderado"),CONCATENATE("R5C",'Mapa final'!$T$41),"")</f>
        <v/>
      </c>
      <c r="AB50" s="38" t="str">
        <f>IF(AND('Mapa final'!$AD$36="Muy Baja",'Mapa final'!$AF$36="Mayor"),CONCATENATE("R5C",'Mapa final'!$T$36),"")</f>
        <v/>
      </c>
      <c r="AC50" s="39" t="str">
        <f>IF(AND('Mapa final'!$AD$37="Muy Baja",'Mapa final'!$AF$37="Mayor"),CONCATENATE("R5C",'Mapa final'!$T$37),"")</f>
        <v/>
      </c>
      <c r="AD50" s="39" t="str">
        <f>IF(AND('Mapa final'!$AD$38="Muy Baja",'Mapa final'!$AF$38="Mayor"),CONCATENATE("R5C",'Mapa final'!$T$38),"")</f>
        <v/>
      </c>
      <c r="AE50" s="39" t="str">
        <f>IF(AND('Mapa final'!$AD$39="Muy Baja",'Mapa final'!$AF$39="Mayor"),CONCATENATE("R5C",'Mapa final'!$T$39),"")</f>
        <v/>
      </c>
      <c r="AF50" s="39" t="str">
        <f>IF(AND('Mapa final'!$AD$40="Muy Baja",'Mapa final'!$AF$40="Mayor"),CONCATENATE("R5C",'Mapa final'!$T$40),"")</f>
        <v/>
      </c>
      <c r="AG50" s="40" t="str">
        <f>IF(AND('Mapa final'!$AD$41="Muy Baja",'Mapa final'!$AF$41="Mayor"),CONCATENATE("R5C",'Mapa final'!$T$41),"")</f>
        <v/>
      </c>
      <c r="AH50" s="41" t="str">
        <f>IF(AND('Mapa final'!$AD$36="Muy Baja",'Mapa final'!$AF$36="Catastrófico"),CONCATENATE("R5C",'Mapa final'!$T$36),"")</f>
        <v/>
      </c>
      <c r="AI50" s="42" t="str">
        <f>IF(AND('Mapa final'!$AD$37="Muy Baja",'Mapa final'!$AF$37="Catastrófico"),CONCATENATE("R5C",'Mapa final'!$T$37),"")</f>
        <v/>
      </c>
      <c r="AJ50" s="42" t="str">
        <f>IF(AND('Mapa final'!$AD$38="Muy Baja",'Mapa final'!$AF$38="Catastrófico"),CONCATENATE("R5C",'Mapa final'!$T$38),"")</f>
        <v/>
      </c>
      <c r="AK50" s="42" t="str">
        <f>IF(AND('Mapa final'!$AD$39="Muy Baja",'Mapa final'!$AF$39="Catastrófico"),CONCATENATE("R5C",'Mapa final'!$T$39),"")</f>
        <v/>
      </c>
      <c r="AL50" s="42" t="str">
        <f>IF(AND('Mapa final'!$AD$40="Muy Baja",'Mapa final'!$AF$40="Catastrófico"),CONCATENATE("R5C",'Mapa final'!$T$40),"")</f>
        <v/>
      </c>
      <c r="AM50" s="43" t="str">
        <f>IF(AND('Mapa final'!$AD$41="Muy Baja",'Mapa final'!$AF$41="Catastrófico"),CONCATENATE("R5C",'Mapa final'!$T$41),"")</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450"/>
      <c r="C51" s="450"/>
      <c r="D51" s="451"/>
      <c r="E51" s="491"/>
      <c r="F51" s="492"/>
      <c r="G51" s="492"/>
      <c r="H51" s="492"/>
      <c r="I51" s="493"/>
      <c r="J51" s="62" t="str">
        <f>IF(AND('Mapa final'!$AD$42="Muy Baja",'Mapa final'!$AF$42="Leve"),CONCATENATE("R6C",'Mapa final'!$T$42),"")</f>
        <v/>
      </c>
      <c r="K51" s="63" t="str">
        <f>IF(AND('Mapa final'!$AD$43="Muy Baja",'Mapa final'!$AF$43="Leve"),CONCATENATE("R6C",'Mapa final'!$T$43),"")</f>
        <v/>
      </c>
      <c r="L51" s="63" t="str">
        <f>IF(AND('Mapa final'!$AD$44="Muy Baja",'Mapa final'!$AF$44="Leve"),CONCATENATE("R6C",'Mapa final'!$T$44),"")</f>
        <v/>
      </c>
      <c r="M51" s="63" t="str">
        <f>IF(AND('Mapa final'!$AD$45="Muy Baja",'Mapa final'!$AF$45="Leve"),CONCATENATE("R6C",'Mapa final'!$T$45),"")</f>
        <v/>
      </c>
      <c r="N51" s="63" t="str">
        <f>IF(AND('Mapa final'!$AD$46="Muy Baja",'Mapa final'!$AF$46="Leve"),CONCATENATE("R6C",'Mapa final'!$T$46),"")</f>
        <v/>
      </c>
      <c r="O51" s="64" t="str">
        <f>IF(AND('Mapa final'!$AD$47="Muy Baja",'Mapa final'!$AF$47="Leve"),CONCATENATE("R6C",'Mapa final'!$T$47),"")</f>
        <v/>
      </c>
      <c r="P51" s="62" t="str">
        <f>IF(AND('Mapa final'!$AD$42="Muy Baja",'Mapa final'!$AF$42="Menor"),CONCATENATE("R6C",'Mapa final'!$T$42),"")</f>
        <v/>
      </c>
      <c r="Q51" s="63" t="str">
        <f>IF(AND('Mapa final'!$AD$43="Muy Baja",'Mapa final'!$AF$43="Menor"),CONCATENATE("R6C",'Mapa final'!$T$43),"")</f>
        <v/>
      </c>
      <c r="R51" s="63" t="str">
        <f>IF(AND('Mapa final'!$AD$44="Muy Baja",'Mapa final'!$AF$44="Menor"),CONCATENATE("R6C",'Mapa final'!$T$44),"")</f>
        <v/>
      </c>
      <c r="S51" s="63" t="str">
        <f>IF(AND('Mapa final'!$AD$45="Muy Baja",'Mapa final'!$AF$45="Menor"),CONCATENATE("R6C",'Mapa final'!$T$45),"")</f>
        <v/>
      </c>
      <c r="T51" s="63" t="str">
        <f>IF(AND('Mapa final'!$AD$46="Muy Baja",'Mapa final'!$AF$46="Menor"),CONCATENATE("R6C",'Mapa final'!$T$46),"")</f>
        <v/>
      </c>
      <c r="U51" s="64" t="str">
        <f>IF(AND('Mapa final'!$AD$47="Muy Baja",'Mapa final'!$AF$47="Menor"),CONCATENATE("R6C",'Mapa final'!$T$47),"")</f>
        <v/>
      </c>
      <c r="V51" s="53" t="str">
        <f>IF(AND('Mapa final'!$AD$42="Muy Baja",'Mapa final'!$AF$42="Moderado"),CONCATENATE("R6C",'Mapa final'!$T$42),"")</f>
        <v/>
      </c>
      <c r="W51" s="54" t="str">
        <f>IF(AND('Mapa final'!$AD$43="Muy Baja",'Mapa final'!$AF$43="Moderado"),CONCATENATE("R6C",'Mapa final'!$T$43),"")</f>
        <v/>
      </c>
      <c r="X51" s="54" t="str">
        <f>IF(AND('Mapa final'!$AD$44="Muy Baja",'Mapa final'!$AF$44="Moderado"),CONCATENATE("R6C",'Mapa final'!$T$44),"")</f>
        <v/>
      </c>
      <c r="Y51" s="54" t="str">
        <f>IF(AND('Mapa final'!$AD$45="Muy Baja",'Mapa final'!$AF$45="Moderado"),CONCATENATE("R6C",'Mapa final'!$T$45),"")</f>
        <v/>
      </c>
      <c r="Z51" s="54" t="str">
        <f>IF(AND('Mapa final'!$AD$46="Muy Baja",'Mapa final'!$AF$46="Moderado"),CONCATENATE("R6C",'Mapa final'!$T$46),"")</f>
        <v/>
      </c>
      <c r="AA51" s="55" t="str">
        <f>IF(AND('Mapa final'!$AD$47="Muy Baja",'Mapa final'!$AF$47="Moderado"),CONCATENATE("R6C",'Mapa final'!$T$47),"")</f>
        <v/>
      </c>
      <c r="AB51" s="38" t="str">
        <f>IF(AND('Mapa final'!$AD$42="Muy Baja",'Mapa final'!$AF$42="Mayor"),CONCATENATE("R6C",'Mapa final'!$T$42),"")</f>
        <v/>
      </c>
      <c r="AC51" s="39" t="str">
        <f>IF(AND('Mapa final'!$AD$43="Muy Baja",'Mapa final'!$AF$43="Mayor"),CONCATENATE("R6C",'Mapa final'!$T$43),"")</f>
        <v/>
      </c>
      <c r="AD51" s="39" t="str">
        <f>IF(AND('Mapa final'!$AD$44="Muy Baja",'Mapa final'!$AF$44="Mayor"),CONCATENATE("R6C",'Mapa final'!$T$44),"")</f>
        <v/>
      </c>
      <c r="AE51" s="39" t="str">
        <f>IF(AND('Mapa final'!$AD$45="Muy Baja",'Mapa final'!$AF$45="Mayor"),CONCATENATE("R6C",'Mapa final'!$T$45),"")</f>
        <v/>
      </c>
      <c r="AF51" s="39" t="str">
        <f>IF(AND('Mapa final'!$AD$46="Muy Baja",'Mapa final'!$AF$46="Mayor"),CONCATENATE("R6C",'Mapa final'!$T$46),"")</f>
        <v/>
      </c>
      <c r="AG51" s="40" t="str">
        <f>IF(AND('Mapa final'!$AD$47="Muy Baja",'Mapa final'!$AF$47="Mayor"),CONCATENATE("R6C",'Mapa final'!$T$47),"")</f>
        <v/>
      </c>
      <c r="AH51" s="41" t="str">
        <f>IF(AND('Mapa final'!$AD$42="Muy Baja",'Mapa final'!$AF$42="Catastrófico"),CONCATENATE("R6C",'Mapa final'!$T$42),"")</f>
        <v/>
      </c>
      <c r="AI51" s="42" t="str">
        <f>IF(AND('Mapa final'!$AD$43="Muy Baja",'Mapa final'!$AF$43="Catastrófico"),CONCATENATE("R6C",'Mapa final'!$T$43),"")</f>
        <v/>
      </c>
      <c r="AJ51" s="42" t="str">
        <f>IF(AND('Mapa final'!$AD$44="Muy Baja",'Mapa final'!$AF$44="Catastrófico"),CONCATENATE("R6C",'Mapa final'!$T$44),"")</f>
        <v/>
      </c>
      <c r="AK51" s="42" t="str">
        <f>IF(AND('Mapa final'!$AD$45="Muy Baja",'Mapa final'!$AF$45="Catastrófico"),CONCATENATE("R6C",'Mapa final'!$T$45),"")</f>
        <v/>
      </c>
      <c r="AL51" s="42" t="str">
        <f>IF(AND('Mapa final'!$AD$46="Muy Baja",'Mapa final'!$AF$46="Catastrófico"),CONCATENATE("R6C",'Mapa final'!$T$46),"")</f>
        <v/>
      </c>
      <c r="AM51" s="43" t="str">
        <f>IF(AND('Mapa final'!$AD$47="Muy Baja",'Mapa final'!$AF$47="Catastrófico"),CONCATENATE("R6C",'Mapa final'!$T$47),"")</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450"/>
      <c r="C52" s="450"/>
      <c r="D52" s="451"/>
      <c r="E52" s="491"/>
      <c r="F52" s="492"/>
      <c r="G52" s="492"/>
      <c r="H52" s="492"/>
      <c r="I52" s="493"/>
      <c r="J52" s="62" t="str">
        <f>IF(AND('Mapa final'!$AD$48="Muy Baja",'Mapa final'!$AF$48="Leve"),CONCATENATE("R7C",'Mapa final'!$T$48),"")</f>
        <v/>
      </c>
      <c r="K52" s="63" t="str">
        <f>IF(AND('Mapa final'!$AD$49="Muy Baja",'Mapa final'!$AF$49="Leve"),CONCATENATE("R7C",'Mapa final'!$T$49),"")</f>
        <v/>
      </c>
      <c r="L52" s="63" t="str">
        <f>IF(AND('Mapa final'!$AD$50="Muy Baja",'Mapa final'!$AF$50="Leve"),CONCATENATE("R7C",'Mapa final'!$T$50),"")</f>
        <v/>
      </c>
      <c r="M52" s="63" t="str">
        <f>IF(AND('Mapa final'!$AD$51="Muy Baja",'Mapa final'!$AF$51="Leve"),CONCATENATE("R7C",'Mapa final'!$T$51),"")</f>
        <v/>
      </c>
      <c r="N52" s="63" t="str">
        <f>IF(AND('Mapa final'!$AD$52="Muy Baja",'Mapa final'!$AF$52="Leve"),CONCATENATE("R7C",'Mapa final'!$T$52),"")</f>
        <v/>
      </c>
      <c r="O52" s="64" t="str">
        <f>IF(AND('Mapa final'!$AD$53="Muy Baja",'Mapa final'!$AF$53="Leve"),CONCATENATE("R7C",'Mapa final'!$T$53),"")</f>
        <v/>
      </c>
      <c r="P52" s="62" t="str">
        <f>IF(AND('Mapa final'!$AD$48="Muy Baja",'Mapa final'!$AF$48="Menor"),CONCATENATE("R7C",'Mapa final'!$T$48),"")</f>
        <v/>
      </c>
      <c r="Q52" s="63" t="str">
        <f>IF(AND('Mapa final'!$AD$49="Muy Baja",'Mapa final'!$AF$49="Menor"),CONCATENATE("R7C",'Mapa final'!$T$49),"")</f>
        <v/>
      </c>
      <c r="R52" s="63" t="str">
        <f>IF(AND('Mapa final'!$AD$50="Muy Baja",'Mapa final'!$AF$50="Menor"),CONCATENATE("R7C",'Mapa final'!$T$50),"")</f>
        <v/>
      </c>
      <c r="S52" s="63" t="str">
        <f>IF(AND('Mapa final'!$AD$51="Muy Baja",'Mapa final'!$AF$51="Menor"),CONCATENATE("R7C",'Mapa final'!$T$51),"")</f>
        <v/>
      </c>
      <c r="T52" s="63" t="str">
        <f>IF(AND('Mapa final'!$AD$52="Muy Baja",'Mapa final'!$AF$52="Menor"),CONCATENATE("R7C",'Mapa final'!$T$52),"")</f>
        <v/>
      </c>
      <c r="U52" s="64" t="str">
        <f>IF(AND('Mapa final'!$AD$53="Muy Baja",'Mapa final'!$AF$53="Menor"),CONCATENATE("R7C",'Mapa final'!$T$53),"")</f>
        <v/>
      </c>
      <c r="V52" s="53" t="str">
        <f>IF(AND('Mapa final'!$AD$48="Muy Baja",'Mapa final'!$AF$48="Moderado"),CONCATENATE("R7C",'Mapa final'!$T$48),"")</f>
        <v/>
      </c>
      <c r="W52" s="54" t="str">
        <f>IF(AND('Mapa final'!$AD$49="Muy Baja",'Mapa final'!$AF$49="Moderado"),CONCATENATE("R7C",'Mapa final'!$T$49),"")</f>
        <v/>
      </c>
      <c r="X52" s="54" t="str">
        <f>IF(AND('Mapa final'!$AD$50="Muy Baja",'Mapa final'!$AF$50="Moderado"),CONCATENATE("R7C",'Mapa final'!$T$50),"")</f>
        <v/>
      </c>
      <c r="Y52" s="54" t="str">
        <f>IF(AND('Mapa final'!$AD$51="Muy Baja",'Mapa final'!$AF$51="Moderado"),CONCATENATE("R7C",'Mapa final'!$T$51),"")</f>
        <v/>
      </c>
      <c r="Z52" s="54" t="str">
        <f>IF(AND('Mapa final'!$AD$52="Muy Baja",'Mapa final'!$AF$52="Moderado"),CONCATENATE("R7C",'Mapa final'!$T$52),"")</f>
        <v/>
      </c>
      <c r="AA52" s="55" t="str">
        <f>IF(AND('Mapa final'!$AD$53="Muy Baja",'Mapa final'!$AF$53="Moderado"),CONCATENATE("R7C",'Mapa final'!$T$53),"")</f>
        <v/>
      </c>
      <c r="AB52" s="38" t="str">
        <f>IF(AND('Mapa final'!$AD$48="Muy Baja",'Mapa final'!$AF$48="Mayor"),CONCATENATE("R7C",'Mapa final'!$T$48),"")</f>
        <v/>
      </c>
      <c r="AC52" s="39" t="str">
        <f>IF(AND('Mapa final'!$AD$49="Muy Baja",'Mapa final'!$AF$49="Mayor"),CONCATENATE("R7C",'Mapa final'!$T$49),"")</f>
        <v/>
      </c>
      <c r="AD52" s="39" t="str">
        <f>IF(AND('Mapa final'!$AD$50="Muy Baja",'Mapa final'!$AF$50="Mayor"),CONCATENATE("R7C",'Mapa final'!$T$50),"")</f>
        <v/>
      </c>
      <c r="AE52" s="39" t="str">
        <f>IF(AND('Mapa final'!$AD$51="Muy Baja",'Mapa final'!$AF$51="Mayor"),CONCATENATE("R7C",'Mapa final'!$T$51),"")</f>
        <v/>
      </c>
      <c r="AF52" s="39" t="str">
        <f>IF(AND('Mapa final'!$AD$52="Muy Baja",'Mapa final'!$AF$52="Mayor"),CONCATENATE("R7C",'Mapa final'!$T$52),"")</f>
        <v/>
      </c>
      <c r="AG52" s="40" t="str">
        <f>IF(AND('Mapa final'!$AD$53="Muy Baja",'Mapa final'!$AF$53="Mayor"),CONCATENATE("R7C",'Mapa final'!$T$53),"")</f>
        <v/>
      </c>
      <c r="AH52" s="41" t="str">
        <f>IF(AND('Mapa final'!$AD$48="Muy Baja",'Mapa final'!$AF$48="Catastrófico"),CONCATENATE("R7C",'Mapa final'!$T$48),"")</f>
        <v/>
      </c>
      <c r="AI52" s="42" t="str">
        <f>IF(AND('Mapa final'!$AD$49="Muy Baja",'Mapa final'!$AF$49="Catastrófico"),CONCATENATE("R7C",'Mapa final'!$T$49),"")</f>
        <v/>
      </c>
      <c r="AJ52" s="42" t="str">
        <f>IF(AND('Mapa final'!$AD$50="Muy Baja",'Mapa final'!$AF$50="Catastrófico"),CONCATENATE("R7C",'Mapa final'!$T$50),"")</f>
        <v/>
      </c>
      <c r="AK52" s="42" t="str">
        <f>IF(AND('Mapa final'!$AD$51="Muy Baja",'Mapa final'!$AF$51="Catastrófico"),CONCATENATE("R7C",'Mapa final'!$T$51),"")</f>
        <v/>
      </c>
      <c r="AL52" s="42" t="str">
        <f>IF(AND('Mapa final'!$AD$52="Muy Baja",'Mapa final'!$AF$52="Catastrófico"),CONCATENATE("R7C",'Mapa final'!$T$52),"")</f>
        <v/>
      </c>
      <c r="AM52" s="43" t="str">
        <f>IF(AND('Mapa final'!$AD$53="Muy Baja",'Mapa final'!$AF$53="Catastrófico"),CONCATENATE("R7C",'Mapa final'!$T$53),"")</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450"/>
      <c r="C53" s="450"/>
      <c r="D53" s="451"/>
      <c r="E53" s="491"/>
      <c r="F53" s="492"/>
      <c r="G53" s="492"/>
      <c r="H53" s="492"/>
      <c r="I53" s="493"/>
      <c r="J53" s="62" t="str">
        <f>IF(AND('Mapa final'!$AD$54="Muy Baja",'Mapa final'!$AF$54="Leve"),CONCATENATE("R8C",'Mapa final'!$T$54),"")</f>
        <v/>
      </c>
      <c r="K53" s="63" t="str">
        <f>IF(AND('Mapa final'!$AD$55="Muy Baja",'Mapa final'!$AF$55="Leve"),CONCATENATE("R8C",'Mapa final'!$T$55),"")</f>
        <v/>
      </c>
      <c r="L53" s="63" t="str">
        <f>IF(AND('Mapa final'!$AD$56="Muy Baja",'Mapa final'!$AF$56="Leve"),CONCATENATE("R8C",'Mapa final'!$T$56),"")</f>
        <v/>
      </c>
      <c r="M53" s="63" t="str">
        <f>IF(AND('Mapa final'!$AD$57="Muy Baja",'Mapa final'!$AF$57="Leve"),CONCATENATE("R8C",'Mapa final'!$T$57),"")</f>
        <v/>
      </c>
      <c r="N53" s="63" t="str">
        <f>IF(AND('Mapa final'!$AD$58="Muy Baja",'Mapa final'!$AF$58="Leve"),CONCATENATE("R8C",'Mapa final'!$T$58),"")</f>
        <v/>
      </c>
      <c r="O53" s="64" t="str">
        <f>IF(AND('Mapa final'!$AD$59="Muy Baja",'Mapa final'!$AF$59="Leve"),CONCATENATE("R8C",'Mapa final'!$T$59),"")</f>
        <v/>
      </c>
      <c r="P53" s="62" t="str">
        <f>IF(AND('Mapa final'!$AD$54="Muy Baja",'Mapa final'!$AF$54="Menor"),CONCATENATE("R8C",'Mapa final'!$T$54),"")</f>
        <v/>
      </c>
      <c r="Q53" s="63" t="str">
        <f>IF(AND('Mapa final'!$AD$55="Muy Baja",'Mapa final'!$AF$55="Menor"),CONCATENATE("R8C",'Mapa final'!$T$55),"")</f>
        <v/>
      </c>
      <c r="R53" s="63" t="str">
        <f>IF(AND('Mapa final'!$AD$56="Muy Baja",'Mapa final'!$AF$56="Menor"),CONCATENATE("R8C",'Mapa final'!$T$56),"")</f>
        <v/>
      </c>
      <c r="S53" s="63" t="str">
        <f>IF(AND('Mapa final'!$AD$57="Muy Baja",'Mapa final'!$AF$57="Menor"),CONCATENATE("R8C",'Mapa final'!$T$57),"")</f>
        <v/>
      </c>
      <c r="T53" s="63" t="str">
        <f>IF(AND('Mapa final'!$AD$58="Muy Baja",'Mapa final'!$AF$58="Menor"),CONCATENATE("R8C",'Mapa final'!$T$58),"")</f>
        <v/>
      </c>
      <c r="U53" s="64" t="str">
        <f>IF(AND('Mapa final'!$AD$59="Muy Baja",'Mapa final'!$AF$59="Menor"),CONCATENATE("R8C",'Mapa final'!$T$59),"")</f>
        <v/>
      </c>
      <c r="V53" s="53" t="str">
        <f>IF(AND('Mapa final'!$AD$54="Muy Baja",'Mapa final'!$AF$54="Moderado"),CONCATENATE("R8C",'Mapa final'!$T$54),"")</f>
        <v/>
      </c>
      <c r="W53" s="54" t="str">
        <f>IF(AND('Mapa final'!$AD$55="Muy Baja",'Mapa final'!$AF$55="Moderado"),CONCATENATE("R8C",'Mapa final'!$T$55),"")</f>
        <v/>
      </c>
      <c r="X53" s="54" t="str">
        <f>IF(AND('Mapa final'!$AD$56="Muy Baja",'Mapa final'!$AF$56="Moderado"),CONCATENATE("R8C",'Mapa final'!$T$56),"")</f>
        <v/>
      </c>
      <c r="Y53" s="54" t="str">
        <f>IF(AND('Mapa final'!$AD$57="Muy Baja",'Mapa final'!$AF$57="Moderado"),CONCATENATE("R8C",'Mapa final'!$T$57),"")</f>
        <v/>
      </c>
      <c r="Z53" s="54" t="str">
        <f>IF(AND('Mapa final'!$AD$58="Muy Baja",'Mapa final'!$AF$58="Moderado"),CONCATENATE("R8C",'Mapa final'!$T$58),"")</f>
        <v/>
      </c>
      <c r="AA53" s="55" t="str">
        <f>IF(AND('Mapa final'!$AD$59="Muy Baja",'Mapa final'!$AF$59="Moderado"),CONCATENATE("R8C",'Mapa final'!$T$59),"")</f>
        <v/>
      </c>
      <c r="AB53" s="38" t="str">
        <f>IF(AND('Mapa final'!$AD$54="Muy Baja",'Mapa final'!$AF$54="Mayor"),CONCATENATE("R8C",'Mapa final'!$T$54),"")</f>
        <v/>
      </c>
      <c r="AC53" s="39" t="str">
        <f>IF(AND('Mapa final'!$AD$55="Muy Baja",'Mapa final'!$AF$55="Mayor"),CONCATENATE("R8C",'Mapa final'!$T$55),"")</f>
        <v/>
      </c>
      <c r="AD53" s="39" t="str">
        <f>IF(AND('Mapa final'!$AD$56="Muy Baja",'Mapa final'!$AF$56="Mayor"),CONCATENATE("R8C",'Mapa final'!$T$56),"")</f>
        <v/>
      </c>
      <c r="AE53" s="39" t="str">
        <f>IF(AND('Mapa final'!$AD$57="Muy Baja",'Mapa final'!$AF$57="Mayor"),CONCATENATE("R8C",'Mapa final'!$T$57),"")</f>
        <v/>
      </c>
      <c r="AF53" s="39" t="str">
        <f>IF(AND('Mapa final'!$AD$58="Muy Baja",'Mapa final'!$AF$58="Mayor"),CONCATENATE("R8C",'Mapa final'!$T$58),"")</f>
        <v/>
      </c>
      <c r="AG53" s="40" t="str">
        <f>IF(AND('Mapa final'!$AD$59="Muy Baja",'Mapa final'!$AF$59="Mayor"),CONCATENATE("R8C",'Mapa final'!$T$59),"")</f>
        <v/>
      </c>
      <c r="AH53" s="41" t="str">
        <f>IF(AND('Mapa final'!$AD$54="Muy Baja",'Mapa final'!$AF$54="Catastrófico"),CONCATENATE("R8C",'Mapa final'!$T$54),"")</f>
        <v/>
      </c>
      <c r="AI53" s="42" t="str">
        <f>IF(AND('Mapa final'!$AD$55="Muy Baja",'Mapa final'!$AF$55="Catastrófico"),CONCATENATE("R8C",'Mapa final'!$T$55),"")</f>
        <v>R8C2</v>
      </c>
      <c r="AJ53" s="42" t="str">
        <f>IF(AND('Mapa final'!$AD$56="Muy Baja",'Mapa final'!$AF$56="Catastrófico"),CONCATENATE("R8C",'Mapa final'!$T$56),"")</f>
        <v/>
      </c>
      <c r="AK53" s="42" t="str">
        <f>IF(AND('Mapa final'!$AD$57="Muy Baja",'Mapa final'!$AF$57="Catastrófico"),CONCATENATE("R8C",'Mapa final'!$T$57),"")</f>
        <v/>
      </c>
      <c r="AL53" s="42" t="str">
        <f>IF(AND('Mapa final'!$AD$58="Muy Baja",'Mapa final'!$AF$58="Catastrófico"),CONCATENATE("R8C",'Mapa final'!$T$58),"")</f>
        <v/>
      </c>
      <c r="AM53" s="43" t="str">
        <f>IF(AND('Mapa final'!$AD$59="Muy Baja",'Mapa final'!$AF$59="Catastrófico"),CONCATENATE("R8C",'Mapa final'!$T$59),"")</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450"/>
      <c r="C54" s="450"/>
      <c r="D54" s="451"/>
      <c r="E54" s="491"/>
      <c r="F54" s="492"/>
      <c r="G54" s="492"/>
      <c r="H54" s="492"/>
      <c r="I54" s="493"/>
      <c r="J54" s="62" t="str">
        <f>IF(AND('Mapa final'!$AD$60="Muy Baja",'Mapa final'!$AF$60="Leve"),CONCATENATE("R9C",'Mapa final'!$T$60),"")</f>
        <v/>
      </c>
      <c r="K54" s="63" t="str">
        <f>IF(AND('Mapa final'!$AD$61="Muy Baja",'Mapa final'!$AF$61="Leve"),CONCATENATE("R9C",'Mapa final'!$T$61),"")</f>
        <v/>
      </c>
      <c r="L54" s="63" t="str">
        <f>IF(AND('Mapa final'!$AD$62="Muy Baja",'Mapa final'!$AF$62="Leve"),CONCATENATE("R9C",'Mapa final'!$T$62),"")</f>
        <v/>
      </c>
      <c r="M54" s="63" t="str">
        <f>IF(AND('Mapa final'!$AD$63="Muy Baja",'Mapa final'!$AF$63="Leve"),CONCATENATE("R9C",'Mapa final'!$T$63),"")</f>
        <v/>
      </c>
      <c r="N54" s="63" t="str">
        <f>IF(AND('Mapa final'!$AD$64="Muy Baja",'Mapa final'!$AF$64="Leve"),CONCATENATE("R9C",'Mapa final'!$T$64),"")</f>
        <v/>
      </c>
      <c r="O54" s="64" t="str">
        <f>IF(AND('Mapa final'!$AD$65="Muy Baja",'Mapa final'!$AF$65="Leve"),CONCATENATE("R9C",'Mapa final'!$T$65),"")</f>
        <v/>
      </c>
      <c r="P54" s="62" t="str">
        <f>IF(AND('Mapa final'!$AD$60="Muy Baja",'Mapa final'!$AF$60="Menor"),CONCATENATE("R9C",'Mapa final'!$T$60),"")</f>
        <v/>
      </c>
      <c r="Q54" s="63" t="str">
        <f>IF(AND('Mapa final'!$AD$61="Muy Baja",'Mapa final'!$AF$61="Menor"),CONCATENATE("R9C",'Mapa final'!$T$61),"")</f>
        <v/>
      </c>
      <c r="R54" s="63" t="str">
        <f>IF(AND('Mapa final'!$AD$62="Muy Baja",'Mapa final'!$AF$62="Menor"),CONCATENATE("R9C",'Mapa final'!$T$62),"")</f>
        <v/>
      </c>
      <c r="S54" s="63" t="str">
        <f>IF(AND('Mapa final'!$AD$63="Muy Baja",'Mapa final'!$AF$63="Menor"),CONCATENATE("R9C",'Mapa final'!$T$63),"")</f>
        <v/>
      </c>
      <c r="T54" s="63" t="str">
        <f>IF(AND('Mapa final'!$AD$64="Muy Baja",'Mapa final'!$AF$64="Menor"),CONCATENATE("R9C",'Mapa final'!$T$64),"")</f>
        <v/>
      </c>
      <c r="U54" s="64" t="str">
        <f>IF(AND('Mapa final'!$AD$65="Muy Baja",'Mapa final'!$AF$65="Menor"),CONCATENATE("R9C",'Mapa final'!$T$65),"")</f>
        <v/>
      </c>
      <c r="V54" s="53" t="str">
        <f>IF(AND('Mapa final'!$AD$60="Muy Baja",'Mapa final'!$AF$60="Moderado"),CONCATENATE("R9C",'Mapa final'!$T$60),"")</f>
        <v/>
      </c>
      <c r="W54" s="54" t="str">
        <f>IF(AND('Mapa final'!$AD$61="Muy Baja",'Mapa final'!$AF$61="Moderado"),CONCATENATE("R9C",'Mapa final'!$T$61),"")</f>
        <v/>
      </c>
      <c r="X54" s="54" t="str">
        <f>IF(AND('Mapa final'!$AD$62="Muy Baja",'Mapa final'!$AF$62="Moderado"),CONCATENATE("R9C",'Mapa final'!$T$62),"")</f>
        <v/>
      </c>
      <c r="Y54" s="54" t="str">
        <f>IF(AND('Mapa final'!$AD$63="Muy Baja",'Mapa final'!$AF$63="Moderado"),CONCATENATE("R9C",'Mapa final'!$T$63),"")</f>
        <v/>
      </c>
      <c r="Z54" s="54" t="str">
        <f>IF(AND('Mapa final'!$AD$64="Muy Baja",'Mapa final'!$AF$64="Moderado"),CONCATENATE("R9C",'Mapa final'!$T$64),"")</f>
        <v/>
      </c>
      <c r="AA54" s="55" t="str">
        <f>IF(AND('Mapa final'!$AD$65="Muy Baja",'Mapa final'!$AF$65="Moderado"),CONCATENATE("R9C",'Mapa final'!$T$65),"")</f>
        <v/>
      </c>
      <c r="AB54" s="38" t="str">
        <f>IF(AND('Mapa final'!$AD$60="Muy Baja",'Mapa final'!$AF$60="Mayor"),CONCATENATE("R9C",'Mapa final'!$T$60),"")</f>
        <v/>
      </c>
      <c r="AC54" s="39" t="str">
        <f>IF(AND('Mapa final'!$AD$61="Muy Baja",'Mapa final'!$AF$61="Mayor"),CONCATENATE("R9C",'Mapa final'!$T$61),"")</f>
        <v/>
      </c>
      <c r="AD54" s="39" t="str">
        <f>IF(AND('Mapa final'!$AD$62="Muy Baja",'Mapa final'!$AF$62="Mayor"),CONCATENATE("R9C",'Mapa final'!$T$62),"")</f>
        <v/>
      </c>
      <c r="AE54" s="39" t="str">
        <f>IF(AND('Mapa final'!$AD$63="Muy Baja",'Mapa final'!$AF$63="Mayor"),CONCATENATE("R9C",'Mapa final'!$T$63),"")</f>
        <v/>
      </c>
      <c r="AF54" s="39" t="str">
        <f>IF(AND('Mapa final'!$AD$64="Muy Baja",'Mapa final'!$AF$64="Mayor"),CONCATENATE("R9C",'Mapa final'!$T$64),"")</f>
        <v/>
      </c>
      <c r="AG54" s="40" t="str">
        <f>IF(AND('Mapa final'!$AD$65="Muy Baja",'Mapa final'!$AF$65="Mayor"),CONCATENATE("R9C",'Mapa final'!$T$65),"")</f>
        <v/>
      </c>
      <c r="AH54" s="41" t="str">
        <f>IF(AND('Mapa final'!$AD$60="Muy Baja",'Mapa final'!$AF$60="Catastrófico"),CONCATENATE("R9C",'Mapa final'!$T$60),"")</f>
        <v/>
      </c>
      <c r="AI54" s="42" t="str">
        <f>IF(AND('Mapa final'!$AD$61="Muy Baja",'Mapa final'!$AF$61="Catastrófico"),CONCATENATE("R9C",'Mapa final'!$T$61),"")</f>
        <v/>
      </c>
      <c r="AJ54" s="42" t="str">
        <f>IF(AND('Mapa final'!$AD$62="Muy Baja",'Mapa final'!$AF$62="Catastrófico"),CONCATENATE("R9C",'Mapa final'!$T$62),"")</f>
        <v>R9C3</v>
      </c>
      <c r="AK54" s="42" t="str">
        <f>IF(AND('Mapa final'!$AD$63="Muy Baja",'Mapa final'!$AF$63="Catastrófico"),CONCATENATE("R9C",'Mapa final'!$T$63),"")</f>
        <v>R9C4</v>
      </c>
      <c r="AL54" s="42" t="str">
        <f>IF(AND('Mapa final'!$AD$64="Muy Baja",'Mapa final'!$AF$64="Catastrófico"),CONCATENATE("R9C",'Mapa final'!$T$64),"")</f>
        <v/>
      </c>
      <c r="AM54" s="43" t="str">
        <f>IF(AND('Mapa final'!$AD$65="Muy Baja",'Mapa final'!$AF$65="Catastrófico"),CONCATENATE("R9C",'Mapa final'!$T$65),"")</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450"/>
      <c r="C55" s="450"/>
      <c r="D55" s="451"/>
      <c r="E55" s="494"/>
      <c r="F55" s="495"/>
      <c r="G55" s="495"/>
      <c r="H55" s="495"/>
      <c r="I55" s="496"/>
      <c r="J55" s="65" t="str">
        <f>IF(AND('Mapa final'!$AD$66="Muy Baja",'Mapa final'!$AF$66="Leve"),CONCATENATE("R10C",'Mapa final'!$T$66),"")</f>
        <v/>
      </c>
      <c r="K55" s="66" t="str">
        <f>IF(AND('Mapa final'!$AD$67="Muy Baja",'Mapa final'!$AF$67="Leve"),CONCATENATE("R10C",'Mapa final'!$T$67),"")</f>
        <v/>
      </c>
      <c r="L55" s="66" t="str">
        <f>IF(AND('Mapa final'!$AD$68="Muy Baja",'Mapa final'!$AF$68="Leve"),CONCATENATE("R10C",'Mapa final'!$T$68),"")</f>
        <v/>
      </c>
      <c r="M55" s="66" t="str">
        <f>IF(AND('Mapa final'!$AD$69="Muy Baja",'Mapa final'!$AF$69="Leve"),CONCATENATE("R10C",'Mapa final'!$T$69),"")</f>
        <v/>
      </c>
      <c r="N55" s="66" t="str">
        <f>IF(AND('Mapa final'!$AD$70="Muy Baja",'Mapa final'!$AF$70="Leve"),CONCATENATE("R10C",'Mapa final'!$T$70),"")</f>
        <v/>
      </c>
      <c r="O55" s="67" t="str">
        <f>IF(AND('Mapa final'!$AD$71="Muy Baja",'Mapa final'!$AF$71="Leve"),CONCATENATE("R10C",'Mapa final'!$T$71),"")</f>
        <v/>
      </c>
      <c r="P55" s="65" t="str">
        <f>IF(AND('Mapa final'!$AD$66="Muy Baja",'Mapa final'!$AF$66="Menor"),CONCATENATE("R10C",'Mapa final'!$T$66),"")</f>
        <v/>
      </c>
      <c r="Q55" s="66" t="str">
        <f>IF(AND('Mapa final'!$AD$67="Muy Baja",'Mapa final'!$AF$67="Menor"),CONCATENATE("R10C",'Mapa final'!$T$67),"")</f>
        <v/>
      </c>
      <c r="R55" s="66" t="str">
        <f>IF(AND('Mapa final'!$AD$68="Muy Baja",'Mapa final'!$AF$68="Menor"),CONCATENATE("R10C",'Mapa final'!$T$68),"")</f>
        <v/>
      </c>
      <c r="S55" s="66" t="str">
        <f>IF(AND('Mapa final'!$AD$69="Muy Baja",'Mapa final'!$AF$69="Menor"),CONCATENATE("R10C",'Mapa final'!$T$69),"")</f>
        <v/>
      </c>
      <c r="T55" s="66" t="str">
        <f>IF(AND('Mapa final'!$AD$70="Muy Baja",'Mapa final'!$AF$70="Menor"),CONCATENATE("R10C",'Mapa final'!$T$70),"")</f>
        <v/>
      </c>
      <c r="U55" s="67" t="str">
        <f>IF(AND('Mapa final'!$AD$71="Muy Baja",'Mapa final'!$AF$71="Menor"),CONCATENATE("R10C",'Mapa final'!$T$71),"")</f>
        <v/>
      </c>
      <c r="V55" s="56" t="str">
        <f>IF(AND('Mapa final'!$AD$66="Muy Baja",'Mapa final'!$AF$66="Moderado"),CONCATENATE("R10C",'Mapa final'!$T$66),"")</f>
        <v/>
      </c>
      <c r="W55" s="57" t="str">
        <f>IF(AND('Mapa final'!$AD$67="Muy Baja",'Mapa final'!$AF$67="Moderado"),CONCATENATE("R10C",'Mapa final'!$T$67),"")</f>
        <v/>
      </c>
      <c r="X55" s="57" t="str">
        <f>IF(AND('Mapa final'!$AD$68="Muy Baja",'Mapa final'!$AF$68="Moderado"),CONCATENATE("R10C",'Mapa final'!$T$68),"")</f>
        <v/>
      </c>
      <c r="Y55" s="57" t="str">
        <f>IF(AND('Mapa final'!$AD$69="Muy Baja",'Mapa final'!$AF$69="Moderado"),CONCATENATE("R10C",'Mapa final'!$T$69),"")</f>
        <v/>
      </c>
      <c r="Z55" s="57" t="str">
        <f>IF(AND('Mapa final'!$AD$70="Muy Baja",'Mapa final'!$AF$70="Moderado"),CONCATENATE("R10C",'Mapa final'!$T$70),"")</f>
        <v/>
      </c>
      <c r="AA55" s="58" t="str">
        <f>IF(AND('Mapa final'!$AD$71="Muy Baja",'Mapa final'!$AF$71="Moderado"),CONCATENATE("R10C",'Mapa final'!$T$71),"")</f>
        <v/>
      </c>
      <c r="AB55" s="44" t="str">
        <f>IF(AND('Mapa final'!$AD$66="Muy Baja",'Mapa final'!$AF$66="Mayor"),CONCATENATE("R10C",'Mapa final'!$T$66),"")</f>
        <v/>
      </c>
      <c r="AC55" s="45" t="str">
        <f>IF(AND('Mapa final'!$AD$67="Muy Baja",'Mapa final'!$AF$67="Mayor"),CONCATENATE("R10C",'Mapa final'!$T$67),"")</f>
        <v/>
      </c>
      <c r="AD55" s="45" t="str">
        <f>IF(AND('Mapa final'!$AD$68="Muy Baja",'Mapa final'!$AF$68="Mayor"),CONCATENATE("R10C",'Mapa final'!$T$68),"")</f>
        <v/>
      </c>
      <c r="AE55" s="45" t="str">
        <f>IF(AND('Mapa final'!$AD$69="Muy Baja",'Mapa final'!$AF$69="Mayor"),CONCATENATE("R10C",'Mapa final'!$T$69),"")</f>
        <v/>
      </c>
      <c r="AF55" s="45" t="str">
        <f>IF(AND('Mapa final'!$AD$70="Muy Baja",'Mapa final'!$AF$70="Mayor"),CONCATENATE("R10C",'Mapa final'!$T$70),"")</f>
        <v/>
      </c>
      <c r="AG55" s="46" t="str">
        <f>IF(AND('Mapa final'!$AD$71="Muy Baja",'Mapa final'!$AF$71="Mayor"),CONCATENATE("R10C",'Mapa final'!$T$71),"")</f>
        <v/>
      </c>
      <c r="AH55" s="47" t="str">
        <f>IF(AND('Mapa final'!$AD$66="Muy Baja",'Mapa final'!$AF$66="Catastrófico"),CONCATENATE("R10C",'Mapa final'!$T$66),"")</f>
        <v/>
      </c>
      <c r="AI55" s="48" t="str">
        <f>IF(AND('Mapa final'!$AD$67="Muy Baja",'Mapa final'!$AF$67="Catastrófico"),CONCATENATE("R10C",'Mapa final'!$T$67),"")</f>
        <v/>
      </c>
      <c r="AJ55" s="48" t="str">
        <f>IF(AND('Mapa final'!$AD$68="Muy Baja",'Mapa final'!$AF$68="Catastrófico"),CONCATENATE("R10C",'Mapa final'!$T$68),"")</f>
        <v/>
      </c>
      <c r="AK55" s="48" t="str">
        <f>IF(AND('Mapa final'!$AD$69="Muy Baja",'Mapa final'!$AF$69="Catastrófico"),CONCATENATE("R10C",'Mapa final'!$T$69),"")</f>
        <v/>
      </c>
      <c r="AL55" s="48" t="str">
        <f>IF(AND('Mapa final'!$AD$70="Muy Baja",'Mapa final'!$AF$70="Catastrófico"),CONCATENATE("R10C",'Mapa final'!$T$70),"")</f>
        <v/>
      </c>
      <c r="AM55" s="49" t="str">
        <f>IF(AND('Mapa final'!$AD$71="Muy Baja",'Mapa final'!$AF$71="Catastrófico"),CONCATENATE("R10C",'Mapa final'!$T$71),"")</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488" t="s">
        <v>112</v>
      </c>
      <c r="K56" s="489"/>
      <c r="L56" s="489"/>
      <c r="M56" s="489"/>
      <c r="N56" s="489"/>
      <c r="O56" s="490"/>
      <c r="P56" s="488" t="s">
        <v>111</v>
      </c>
      <c r="Q56" s="489"/>
      <c r="R56" s="489"/>
      <c r="S56" s="489"/>
      <c r="T56" s="489"/>
      <c r="U56" s="490"/>
      <c r="V56" s="488" t="s">
        <v>110</v>
      </c>
      <c r="W56" s="489"/>
      <c r="X56" s="489"/>
      <c r="Y56" s="489"/>
      <c r="Z56" s="489"/>
      <c r="AA56" s="490"/>
      <c r="AB56" s="488" t="s">
        <v>109</v>
      </c>
      <c r="AC56" s="497"/>
      <c r="AD56" s="489"/>
      <c r="AE56" s="489"/>
      <c r="AF56" s="489"/>
      <c r="AG56" s="490"/>
      <c r="AH56" s="488" t="s">
        <v>108</v>
      </c>
      <c r="AI56" s="489"/>
      <c r="AJ56" s="489"/>
      <c r="AK56" s="489"/>
      <c r="AL56" s="489"/>
      <c r="AM56" s="490"/>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491"/>
      <c r="K57" s="492"/>
      <c r="L57" s="492"/>
      <c r="M57" s="492"/>
      <c r="N57" s="492"/>
      <c r="O57" s="493"/>
      <c r="P57" s="491"/>
      <c r="Q57" s="492"/>
      <c r="R57" s="492"/>
      <c r="S57" s="492"/>
      <c r="T57" s="492"/>
      <c r="U57" s="493"/>
      <c r="V57" s="491"/>
      <c r="W57" s="492"/>
      <c r="X57" s="492"/>
      <c r="Y57" s="492"/>
      <c r="Z57" s="492"/>
      <c r="AA57" s="493"/>
      <c r="AB57" s="491"/>
      <c r="AC57" s="492"/>
      <c r="AD57" s="492"/>
      <c r="AE57" s="492"/>
      <c r="AF57" s="492"/>
      <c r="AG57" s="493"/>
      <c r="AH57" s="491"/>
      <c r="AI57" s="492"/>
      <c r="AJ57" s="492"/>
      <c r="AK57" s="492"/>
      <c r="AL57" s="492"/>
      <c r="AM57" s="493"/>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491"/>
      <c r="K58" s="492"/>
      <c r="L58" s="492"/>
      <c r="M58" s="492"/>
      <c r="N58" s="492"/>
      <c r="O58" s="493"/>
      <c r="P58" s="491"/>
      <c r="Q58" s="492"/>
      <c r="R58" s="492"/>
      <c r="S58" s="492"/>
      <c r="T58" s="492"/>
      <c r="U58" s="493"/>
      <c r="V58" s="491"/>
      <c r="W58" s="492"/>
      <c r="X58" s="492"/>
      <c r="Y58" s="492"/>
      <c r="Z58" s="492"/>
      <c r="AA58" s="493"/>
      <c r="AB58" s="491"/>
      <c r="AC58" s="492"/>
      <c r="AD58" s="492"/>
      <c r="AE58" s="492"/>
      <c r="AF58" s="492"/>
      <c r="AG58" s="493"/>
      <c r="AH58" s="491"/>
      <c r="AI58" s="492"/>
      <c r="AJ58" s="492"/>
      <c r="AK58" s="492"/>
      <c r="AL58" s="492"/>
      <c r="AM58" s="493"/>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491"/>
      <c r="K59" s="492"/>
      <c r="L59" s="492"/>
      <c r="M59" s="492"/>
      <c r="N59" s="492"/>
      <c r="O59" s="493"/>
      <c r="P59" s="491"/>
      <c r="Q59" s="492"/>
      <c r="R59" s="492"/>
      <c r="S59" s="492"/>
      <c r="T59" s="492"/>
      <c r="U59" s="493"/>
      <c r="V59" s="491"/>
      <c r="W59" s="492"/>
      <c r="X59" s="492"/>
      <c r="Y59" s="492"/>
      <c r="Z59" s="492"/>
      <c r="AA59" s="493"/>
      <c r="AB59" s="491"/>
      <c r="AC59" s="492"/>
      <c r="AD59" s="492"/>
      <c r="AE59" s="492"/>
      <c r="AF59" s="492"/>
      <c r="AG59" s="493"/>
      <c r="AH59" s="491"/>
      <c r="AI59" s="492"/>
      <c r="AJ59" s="492"/>
      <c r="AK59" s="492"/>
      <c r="AL59" s="492"/>
      <c r="AM59" s="493"/>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491"/>
      <c r="K60" s="492"/>
      <c r="L60" s="492"/>
      <c r="M60" s="492"/>
      <c r="N60" s="492"/>
      <c r="O60" s="493"/>
      <c r="P60" s="491"/>
      <c r="Q60" s="492"/>
      <c r="R60" s="492"/>
      <c r="S60" s="492"/>
      <c r="T60" s="492"/>
      <c r="U60" s="493"/>
      <c r="V60" s="491"/>
      <c r="W60" s="492"/>
      <c r="X60" s="492"/>
      <c r="Y60" s="492"/>
      <c r="Z60" s="492"/>
      <c r="AA60" s="493"/>
      <c r="AB60" s="491"/>
      <c r="AC60" s="492"/>
      <c r="AD60" s="492"/>
      <c r="AE60" s="492"/>
      <c r="AF60" s="492"/>
      <c r="AG60" s="493"/>
      <c r="AH60" s="491"/>
      <c r="AI60" s="492"/>
      <c r="AJ60" s="492"/>
      <c r="AK60" s="492"/>
      <c r="AL60" s="492"/>
      <c r="AM60" s="493"/>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494"/>
      <c r="K61" s="495"/>
      <c r="L61" s="495"/>
      <c r="M61" s="495"/>
      <c r="N61" s="495"/>
      <c r="O61" s="496"/>
      <c r="P61" s="494"/>
      <c r="Q61" s="495"/>
      <c r="R61" s="495"/>
      <c r="S61" s="495"/>
      <c r="T61" s="495"/>
      <c r="U61" s="496"/>
      <c r="V61" s="494"/>
      <c r="W61" s="495"/>
      <c r="X61" s="495"/>
      <c r="Y61" s="495"/>
      <c r="Z61" s="495"/>
      <c r="AA61" s="496"/>
      <c r="AB61" s="494"/>
      <c r="AC61" s="495"/>
      <c r="AD61" s="495"/>
      <c r="AE61" s="495"/>
      <c r="AF61" s="495"/>
      <c r="AG61" s="496"/>
      <c r="AH61" s="494"/>
      <c r="AI61" s="495"/>
      <c r="AJ61" s="495"/>
      <c r="AK61" s="495"/>
      <c r="AL61" s="495"/>
      <c r="AM61" s="496"/>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tabColor rgb="FFC00000"/>
  </sheetPr>
  <dimension ref="A1:R33"/>
  <sheetViews>
    <sheetView showGridLines="0" zoomScaleNormal="100" workbookViewId="0">
      <selection activeCell="I21" sqref="I21"/>
    </sheetView>
  </sheetViews>
  <sheetFormatPr baseColWidth="10" defaultRowHeight="15" x14ac:dyDescent="0.25"/>
  <cols>
    <col min="1" max="1" width="11.85546875" customWidth="1"/>
    <col min="2" max="2" width="63.140625" customWidth="1"/>
    <col min="3" max="3" width="10.85546875" customWidth="1"/>
    <col min="4" max="4" width="10.5703125" customWidth="1"/>
    <col min="5" max="18" width="9.5703125" customWidth="1"/>
  </cols>
  <sheetData>
    <row r="1" spans="1:18" ht="15.75" thickBot="1" x14ac:dyDescent="0.3"/>
    <row r="2" spans="1:18" ht="15.75" thickBot="1" x14ac:dyDescent="0.3">
      <c r="A2" s="537" t="s">
        <v>247</v>
      </c>
      <c r="B2" s="538"/>
      <c r="C2" s="538"/>
      <c r="D2" s="538"/>
      <c r="E2" s="539"/>
    </row>
    <row r="3" spans="1:18" ht="15.75" thickBot="1" x14ac:dyDescent="0.3">
      <c r="A3" s="122" t="s">
        <v>248</v>
      </c>
      <c r="B3" s="123" t="s">
        <v>249</v>
      </c>
      <c r="C3" s="123" t="s">
        <v>357</v>
      </c>
      <c r="D3" s="123" t="s">
        <v>358</v>
      </c>
      <c r="E3" s="123" t="s">
        <v>359</v>
      </c>
      <c r="F3" s="123" t="s">
        <v>360</v>
      </c>
      <c r="G3" s="123" t="s">
        <v>361</v>
      </c>
      <c r="H3" s="123" t="s">
        <v>362</v>
      </c>
      <c r="I3" s="123" t="s">
        <v>363</v>
      </c>
      <c r="J3" s="123" t="s">
        <v>364</v>
      </c>
      <c r="K3" s="123" t="s">
        <v>365</v>
      </c>
      <c r="L3" s="123" t="s">
        <v>366</v>
      </c>
      <c r="M3" s="123" t="s">
        <v>367</v>
      </c>
      <c r="N3" s="123" t="s">
        <v>368</v>
      </c>
      <c r="O3" s="123" t="s">
        <v>369</v>
      </c>
      <c r="P3" s="123" t="s">
        <v>370</v>
      </c>
      <c r="Q3" s="123" t="s">
        <v>371</v>
      </c>
      <c r="R3" s="123" t="s">
        <v>372</v>
      </c>
    </row>
    <row r="4" spans="1:18" ht="15.75" thickBot="1" x14ac:dyDescent="0.3">
      <c r="A4" s="124">
        <v>1</v>
      </c>
      <c r="B4" s="125" t="s">
        <v>252</v>
      </c>
      <c r="C4" s="126" t="s">
        <v>250</v>
      </c>
      <c r="D4" s="126" t="s">
        <v>250</v>
      </c>
      <c r="E4" s="126" t="s">
        <v>250</v>
      </c>
      <c r="F4" s="126" t="s">
        <v>250</v>
      </c>
      <c r="G4" s="126" t="s">
        <v>250</v>
      </c>
      <c r="H4" s="126" t="s">
        <v>250</v>
      </c>
      <c r="I4" s="126" t="s">
        <v>250</v>
      </c>
      <c r="J4" s="126" t="s">
        <v>250</v>
      </c>
      <c r="K4" s="126" t="s">
        <v>250</v>
      </c>
      <c r="L4" s="126"/>
      <c r="M4" s="126"/>
      <c r="N4" s="126"/>
      <c r="O4" s="126"/>
      <c r="P4" s="126"/>
      <c r="Q4" s="126"/>
      <c r="R4" s="126"/>
    </row>
    <row r="5" spans="1:18" ht="15.75" thickBot="1" x14ac:dyDescent="0.3">
      <c r="A5" s="124">
        <v>2</v>
      </c>
      <c r="B5" s="125" t="s">
        <v>253</v>
      </c>
      <c r="C5" s="126" t="s">
        <v>250</v>
      </c>
      <c r="D5" s="126" t="s">
        <v>250</v>
      </c>
      <c r="E5" s="126" t="s">
        <v>250</v>
      </c>
      <c r="F5" s="126" t="s">
        <v>250</v>
      </c>
      <c r="G5" s="126" t="s">
        <v>250</v>
      </c>
      <c r="H5" s="126" t="s">
        <v>250</v>
      </c>
      <c r="I5" s="126" t="s">
        <v>250</v>
      </c>
      <c r="J5" s="126" t="s">
        <v>250</v>
      </c>
      <c r="K5" s="126" t="s">
        <v>250</v>
      </c>
      <c r="L5" s="126"/>
      <c r="M5" s="126"/>
      <c r="N5" s="126"/>
      <c r="O5" s="126"/>
      <c r="P5" s="126"/>
      <c r="Q5" s="126"/>
      <c r="R5" s="126"/>
    </row>
    <row r="6" spans="1:18" ht="15.75" thickBot="1" x14ac:dyDescent="0.3">
      <c r="A6" s="124">
        <v>3</v>
      </c>
      <c r="B6" s="125" t="s">
        <v>254</v>
      </c>
      <c r="C6" s="126" t="s">
        <v>250</v>
      </c>
      <c r="D6" s="126" t="s">
        <v>250</v>
      </c>
      <c r="E6" s="126" t="s">
        <v>250</v>
      </c>
      <c r="F6" s="126" t="s">
        <v>250</v>
      </c>
      <c r="G6" s="126" t="s">
        <v>250</v>
      </c>
      <c r="H6" s="126" t="s">
        <v>250</v>
      </c>
      <c r="I6" s="126" t="s">
        <v>250</v>
      </c>
      <c r="J6" s="126" t="s">
        <v>250</v>
      </c>
      <c r="K6" s="126" t="s">
        <v>250</v>
      </c>
      <c r="L6" s="126"/>
      <c r="M6" s="126"/>
      <c r="N6" s="126"/>
      <c r="O6" s="126"/>
      <c r="P6" s="126"/>
      <c r="Q6" s="126"/>
      <c r="R6" s="126"/>
    </row>
    <row r="7" spans="1:18" ht="15.75" thickBot="1" x14ac:dyDescent="0.3">
      <c r="A7" s="124">
        <v>4</v>
      </c>
      <c r="B7" s="125" t="s">
        <v>255</v>
      </c>
      <c r="C7" s="126"/>
      <c r="D7" s="126" t="s">
        <v>250</v>
      </c>
      <c r="E7" s="126" t="s">
        <v>250</v>
      </c>
      <c r="F7" s="126"/>
      <c r="G7" s="126"/>
      <c r="H7" s="126" t="s">
        <v>250</v>
      </c>
      <c r="I7" s="126" t="s">
        <v>250</v>
      </c>
      <c r="J7" s="126" t="s">
        <v>250</v>
      </c>
      <c r="K7" s="126" t="s">
        <v>250</v>
      </c>
      <c r="L7" s="126"/>
      <c r="M7" s="126"/>
      <c r="N7" s="126"/>
      <c r="O7" s="126"/>
      <c r="P7" s="126"/>
      <c r="Q7" s="126"/>
      <c r="R7" s="126"/>
    </row>
    <row r="8" spans="1:18" ht="15.75" thickBot="1" x14ac:dyDescent="0.3">
      <c r="A8" s="124">
        <v>5</v>
      </c>
      <c r="B8" s="125" t="s">
        <v>256</v>
      </c>
      <c r="C8" s="126" t="s">
        <v>250</v>
      </c>
      <c r="D8" s="126" t="s">
        <v>250</v>
      </c>
      <c r="E8" s="126" t="s">
        <v>250</v>
      </c>
      <c r="F8" s="126" t="s">
        <v>250</v>
      </c>
      <c r="G8" s="126" t="s">
        <v>250</v>
      </c>
      <c r="H8" s="126" t="s">
        <v>250</v>
      </c>
      <c r="I8" s="126" t="s">
        <v>250</v>
      </c>
      <c r="J8" s="126" t="s">
        <v>250</v>
      </c>
      <c r="K8" s="126" t="s">
        <v>250</v>
      </c>
      <c r="L8" s="126"/>
      <c r="M8" s="126"/>
      <c r="N8" s="126"/>
      <c r="O8" s="126"/>
      <c r="P8" s="126"/>
      <c r="Q8" s="126"/>
      <c r="R8" s="126"/>
    </row>
    <row r="9" spans="1:18" ht="15.75" thickBot="1" x14ac:dyDescent="0.3">
      <c r="A9" s="124">
        <v>6</v>
      </c>
      <c r="B9" s="125" t="s">
        <v>257</v>
      </c>
      <c r="C9" s="126"/>
      <c r="D9" s="126" t="s">
        <v>250</v>
      </c>
      <c r="E9" s="126" t="s">
        <v>250</v>
      </c>
      <c r="F9" s="126"/>
      <c r="G9" s="126"/>
      <c r="H9" s="126" t="s">
        <v>250</v>
      </c>
      <c r="I9" s="126" t="s">
        <v>250</v>
      </c>
      <c r="J9" s="126"/>
      <c r="K9" s="126" t="s">
        <v>250</v>
      </c>
      <c r="L9" s="126"/>
      <c r="M9" s="126"/>
      <c r="N9" s="126"/>
      <c r="O9" s="126"/>
      <c r="P9" s="126"/>
      <c r="Q9" s="126"/>
      <c r="R9" s="126"/>
    </row>
    <row r="10" spans="1:18" ht="22.5" customHeight="1" thickBot="1" x14ac:dyDescent="0.3">
      <c r="A10" s="124">
        <v>7</v>
      </c>
      <c r="B10" s="125" t="s">
        <v>258</v>
      </c>
      <c r="C10" s="126"/>
      <c r="D10" s="126" t="s">
        <v>250</v>
      </c>
      <c r="E10" s="126"/>
      <c r="F10" s="126"/>
      <c r="G10" s="126"/>
      <c r="H10" s="126" t="s">
        <v>250</v>
      </c>
      <c r="I10" s="126"/>
      <c r="J10" s="126" t="s">
        <v>250</v>
      </c>
      <c r="K10" s="126"/>
      <c r="L10" s="126"/>
      <c r="M10" s="126"/>
      <c r="N10" s="126"/>
      <c r="O10" s="126"/>
      <c r="P10" s="126"/>
      <c r="Q10" s="126"/>
      <c r="R10" s="126"/>
    </row>
    <row r="11" spans="1:18" ht="24.75" customHeight="1" thickBot="1" x14ac:dyDescent="0.3">
      <c r="A11" s="124">
        <v>8</v>
      </c>
      <c r="B11" s="127" t="s">
        <v>259</v>
      </c>
      <c r="C11" s="126"/>
      <c r="D11" s="126"/>
      <c r="E11" s="126"/>
      <c r="F11" s="126"/>
      <c r="G11" s="126"/>
      <c r="H11" s="126"/>
      <c r="I11" s="126"/>
      <c r="J11" s="126"/>
      <c r="K11" s="126"/>
      <c r="L11" s="126"/>
      <c r="M11" s="126"/>
      <c r="N11" s="126"/>
      <c r="O11" s="126"/>
      <c r="P11" s="126"/>
      <c r="Q11" s="126"/>
      <c r="R11" s="126"/>
    </row>
    <row r="12" spans="1:18" ht="15.75" thickBot="1" x14ac:dyDescent="0.3">
      <c r="A12" s="124">
        <v>9</v>
      </c>
      <c r="B12" s="125" t="s">
        <v>260</v>
      </c>
      <c r="C12" s="126" t="s">
        <v>250</v>
      </c>
      <c r="D12" s="126" t="s">
        <v>250</v>
      </c>
      <c r="E12" s="126" t="s">
        <v>250</v>
      </c>
      <c r="F12" s="126" t="s">
        <v>250</v>
      </c>
      <c r="G12" s="126" t="s">
        <v>250</v>
      </c>
      <c r="H12" s="126"/>
      <c r="I12" s="126" t="s">
        <v>250</v>
      </c>
      <c r="J12" s="126" t="s">
        <v>250</v>
      </c>
      <c r="K12" s="126" t="s">
        <v>250</v>
      </c>
      <c r="L12" s="126"/>
      <c r="M12" s="126"/>
      <c r="N12" s="126"/>
      <c r="O12" s="126"/>
      <c r="P12" s="126"/>
      <c r="Q12" s="126"/>
      <c r="R12" s="126"/>
    </row>
    <row r="13" spans="1:18" ht="15.75" thickBot="1" x14ac:dyDescent="0.3">
      <c r="A13" s="124">
        <v>10</v>
      </c>
      <c r="B13" s="125" t="s">
        <v>261</v>
      </c>
      <c r="C13" s="126" t="s">
        <v>250</v>
      </c>
      <c r="D13" s="126" t="s">
        <v>250</v>
      </c>
      <c r="E13" s="126" t="s">
        <v>250</v>
      </c>
      <c r="F13" s="126" t="s">
        <v>250</v>
      </c>
      <c r="G13" s="126" t="s">
        <v>250</v>
      </c>
      <c r="H13" s="126" t="s">
        <v>250</v>
      </c>
      <c r="I13" s="126" t="s">
        <v>250</v>
      </c>
      <c r="J13" s="126" t="s">
        <v>250</v>
      </c>
      <c r="K13" s="126" t="s">
        <v>250</v>
      </c>
      <c r="L13" s="126"/>
      <c r="M13" s="126"/>
      <c r="N13" s="126"/>
      <c r="O13" s="126"/>
      <c r="P13" s="126"/>
      <c r="Q13" s="126"/>
      <c r="R13" s="126"/>
    </row>
    <row r="14" spans="1:18" ht="15.75" thickBot="1" x14ac:dyDescent="0.3">
      <c r="A14" s="124">
        <v>11</v>
      </c>
      <c r="B14" s="125" t="s">
        <v>262</v>
      </c>
      <c r="C14" s="126" t="s">
        <v>250</v>
      </c>
      <c r="D14" s="126" t="s">
        <v>250</v>
      </c>
      <c r="E14" s="126" t="s">
        <v>250</v>
      </c>
      <c r="F14" s="126" t="s">
        <v>250</v>
      </c>
      <c r="G14" s="126" t="s">
        <v>250</v>
      </c>
      <c r="H14" s="126" t="s">
        <v>250</v>
      </c>
      <c r="I14" s="126" t="s">
        <v>250</v>
      </c>
      <c r="J14" s="126" t="s">
        <v>250</v>
      </c>
      <c r="K14" s="126" t="s">
        <v>250</v>
      </c>
      <c r="L14" s="126"/>
      <c r="M14" s="126"/>
      <c r="N14" s="126"/>
      <c r="O14" s="126"/>
      <c r="P14" s="126"/>
      <c r="Q14" s="126"/>
      <c r="R14" s="126"/>
    </row>
    <row r="15" spans="1:18" ht="15.75" thickBot="1" x14ac:dyDescent="0.3">
      <c r="A15" s="124">
        <v>12</v>
      </c>
      <c r="B15" s="125" t="s">
        <v>263</v>
      </c>
      <c r="C15" s="126" t="s">
        <v>250</v>
      </c>
      <c r="D15" s="126" t="s">
        <v>250</v>
      </c>
      <c r="E15" s="126" t="s">
        <v>250</v>
      </c>
      <c r="F15" s="126" t="s">
        <v>250</v>
      </c>
      <c r="G15" s="126" t="s">
        <v>250</v>
      </c>
      <c r="H15" s="126" t="s">
        <v>250</v>
      </c>
      <c r="I15" s="126" t="s">
        <v>250</v>
      </c>
      <c r="J15" s="126" t="s">
        <v>250</v>
      </c>
      <c r="K15" s="126" t="s">
        <v>250</v>
      </c>
      <c r="L15" s="126"/>
      <c r="M15" s="126"/>
      <c r="N15" s="126"/>
      <c r="O15" s="126"/>
      <c r="P15" s="126"/>
      <c r="Q15" s="126"/>
      <c r="R15" s="126"/>
    </row>
    <row r="16" spans="1:18" ht="15.75" thickBot="1" x14ac:dyDescent="0.3">
      <c r="A16" s="124">
        <v>13</v>
      </c>
      <c r="B16" s="125" t="s">
        <v>264</v>
      </c>
      <c r="C16" s="126"/>
      <c r="D16" s="126"/>
      <c r="E16" s="126"/>
      <c r="F16" s="126"/>
      <c r="G16" s="126"/>
      <c r="H16" s="126" t="s">
        <v>250</v>
      </c>
      <c r="I16" s="126" t="s">
        <v>250</v>
      </c>
      <c r="J16" s="126"/>
      <c r="K16" s="126"/>
      <c r="L16" s="126"/>
      <c r="M16" s="126"/>
      <c r="N16" s="126"/>
      <c r="O16" s="126"/>
      <c r="P16" s="126"/>
      <c r="Q16" s="126"/>
      <c r="R16" s="126"/>
    </row>
    <row r="17" spans="1:18" ht="15.75" thickBot="1" x14ac:dyDescent="0.3">
      <c r="A17" s="124">
        <v>14</v>
      </c>
      <c r="B17" s="125" t="s">
        <v>265</v>
      </c>
      <c r="C17" s="126" t="s">
        <v>250</v>
      </c>
      <c r="D17" s="126" t="s">
        <v>250</v>
      </c>
      <c r="E17" s="126" t="s">
        <v>250</v>
      </c>
      <c r="F17" s="126" t="s">
        <v>250</v>
      </c>
      <c r="G17" s="126" t="s">
        <v>250</v>
      </c>
      <c r="H17" s="126" t="s">
        <v>250</v>
      </c>
      <c r="I17" s="126" t="s">
        <v>250</v>
      </c>
      <c r="J17" s="126" t="s">
        <v>250</v>
      </c>
      <c r="K17" s="126" t="s">
        <v>250</v>
      </c>
      <c r="L17" s="126"/>
      <c r="M17" s="126"/>
      <c r="N17" s="126"/>
      <c r="O17" s="126"/>
      <c r="P17" s="126"/>
      <c r="Q17" s="126"/>
      <c r="R17" s="126"/>
    </row>
    <row r="18" spans="1:18" ht="15.75" thickBot="1" x14ac:dyDescent="0.3">
      <c r="A18" s="124">
        <v>15</v>
      </c>
      <c r="B18" s="125" t="s">
        <v>266</v>
      </c>
      <c r="C18" s="126" t="s">
        <v>250</v>
      </c>
      <c r="D18" s="126" t="s">
        <v>250</v>
      </c>
      <c r="E18" s="126" t="s">
        <v>250</v>
      </c>
      <c r="F18" s="126" t="s">
        <v>250</v>
      </c>
      <c r="G18" s="126" t="s">
        <v>250</v>
      </c>
      <c r="H18" s="126" t="s">
        <v>250</v>
      </c>
      <c r="I18" s="126" t="s">
        <v>250</v>
      </c>
      <c r="J18" s="126" t="s">
        <v>250</v>
      </c>
      <c r="K18" s="126" t="s">
        <v>250</v>
      </c>
      <c r="L18" s="126"/>
      <c r="M18" s="126"/>
      <c r="N18" s="126"/>
      <c r="O18" s="126"/>
      <c r="P18" s="126"/>
      <c r="Q18" s="126"/>
      <c r="R18" s="126"/>
    </row>
    <row r="19" spans="1:18" ht="15.75" thickBot="1" x14ac:dyDescent="0.3">
      <c r="A19" s="124">
        <v>16</v>
      </c>
      <c r="B19" s="125" t="s">
        <v>267</v>
      </c>
      <c r="C19" s="126"/>
      <c r="D19" s="126"/>
      <c r="E19" s="126"/>
      <c r="F19" s="126"/>
      <c r="G19" s="126"/>
      <c r="H19" s="126"/>
      <c r="I19" s="126"/>
      <c r="J19" s="126"/>
      <c r="K19" s="126"/>
      <c r="L19" s="126"/>
      <c r="M19" s="126"/>
      <c r="N19" s="126"/>
      <c r="O19" s="126"/>
      <c r="P19" s="126"/>
      <c r="Q19" s="126"/>
      <c r="R19" s="126"/>
    </row>
    <row r="20" spans="1:18" ht="15.75" thickBot="1" x14ac:dyDescent="0.3">
      <c r="A20" s="124">
        <v>17</v>
      </c>
      <c r="B20" s="125" t="s">
        <v>268</v>
      </c>
      <c r="C20" s="126"/>
      <c r="D20" s="126"/>
      <c r="E20" s="126" t="s">
        <v>250</v>
      </c>
      <c r="F20" s="126"/>
      <c r="G20" s="126"/>
      <c r="H20" s="126" t="s">
        <v>250</v>
      </c>
      <c r="I20" s="126"/>
      <c r="J20" s="126"/>
      <c r="K20" s="126" t="s">
        <v>250</v>
      </c>
      <c r="L20" s="126"/>
      <c r="M20" s="126"/>
      <c r="N20" s="126"/>
      <c r="O20" s="126"/>
      <c r="P20" s="126"/>
      <c r="Q20" s="126"/>
      <c r="R20" s="126"/>
    </row>
    <row r="21" spans="1:18" ht="15.75" thickBot="1" x14ac:dyDescent="0.3">
      <c r="A21" s="124">
        <v>18</v>
      </c>
      <c r="B21" s="125" t="s">
        <v>269</v>
      </c>
      <c r="C21" s="126" t="s">
        <v>250</v>
      </c>
      <c r="D21" s="126" t="s">
        <v>250</v>
      </c>
      <c r="E21" s="126" t="s">
        <v>250</v>
      </c>
      <c r="F21" s="126" t="s">
        <v>250</v>
      </c>
      <c r="G21" s="126" t="s">
        <v>250</v>
      </c>
      <c r="H21" s="126" t="s">
        <v>250</v>
      </c>
      <c r="I21" s="126" t="s">
        <v>250</v>
      </c>
      <c r="J21" s="126" t="s">
        <v>250</v>
      </c>
      <c r="K21" s="126" t="s">
        <v>250</v>
      </c>
      <c r="L21" s="126"/>
      <c r="M21" s="126"/>
      <c r="N21" s="126"/>
      <c r="O21" s="126"/>
      <c r="P21" s="126"/>
      <c r="Q21" s="126"/>
      <c r="R21" s="126"/>
    </row>
    <row r="22" spans="1:18" ht="15.75" thickBot="1" x14ac:dyDescent="0.3">
      <c r="A22" s="124">
        <v>19</v>
      </c>
      <c r="B22" s="125" t="s">
        <v>270</v>
      </c>
      <c r="C22" s="126"/>
      <c r="D22" s="126"/>
      <c r="E22" s="126"/>
      <c r="F22" s="126"/>
      <c r="G22" s="126"/>
      <c r="H22" s="126"/>
      <c r="I22" s="126"/>
      <c r="J22" s="126"/>
      <c r="K22" s="126"/>
      <c r="L22" s="126"/>
      <c r="M22" s="126"/>
      <c r="N22" s="126"/>
      <c r="O22" s="126"/>
      <c r="P22" s="126"/>
      <c r="Q22" s="126"/>
      <c r="R22" s="126"/>
    </row>
    <row r="23" spans="1:18" ht="15.75" thickBot="1" x14ac:dyDescent="0.3">
      <c r="A23" s="128" t="s">
        <v>271</v>
      </c>
      <c r="B23" s="129"/>
      <c r="C23" s="126">
        <f>IF(AND(COUNTA(C4:C22)&gt;=0,COUNTA(C4:C22)&lt;19),0+COUNTA(C4:C22),19)</f>
        <v>11</v>
      </c>
      <c r="D23" s="126">
        <f t="shared" ref="D23" si="0">IF(AND(COUNTA(D4:D22)&gt;=0,COUNTA(D4:D22)&lt;19),0+COUNTA(D4:D22),19)</f>
        <v>14</v>
      </c>
      <c r="E23" s="126">
        <f t="shared" ref="E23" si="1">IF(AND(COUNTA(E4:E22)&gt;=0,COUNTA(E4:E22)&lt;19),0+COUNTA(E4:E22),19)</f>
        <v>14</v>
      </c>
      <c r="F23" s="126">
        <f t="shared" ref="F23" si="2">IF(AND(COUNTA(F4:F22)&gt;=0,COUNTA(F4:F22)&lt;19),0+COUNTA(F4:F22),19)</f>
        <v>11</v>
      </c>
      <c r="G23" s="126">
        <f t="shared" ref="G23:L23" si="3">IF(AND(COUNTA(G4:G22)&gt;=0,COUNTA(G4:G22)&lt;19),0+COUNTA(G4:G22),19)</f>
        <v>11</v>
      </c>
      <c r="H23" s="126">
        <f t="shared" si="3"/>
        <v>15</v>
      </c>
      <c r="I23" s="126">
        <f t="shared" si="3"/>
        <v>14</v>
      </c>
      <c r="J23" s="126">
        <f t="shared" si="3"/>
        <v>13</v>
      </c>
      <c r="K23" s="126">
        <f t="shared" si="3"/>
        <v>14</v>
      </c>
      <c r="L23" s="126">
        <f t="shared" si="3"/>
        <v>0</v>
      </c>
      <c r="M23" s="126">
        <f t="shared" ref="M23" si="4">IF(AND(COUNTA(M4:M22)&gt;=0,COUNTA(M4:M22)&lt;19),0+COUNTA(M4:M22),19)</f>
        <v>0</v>
      </c>
      <c r="N23" s="126">
        <f t="shared" ref="N23" si="5">IF(AND(COUNTA(N4:N22)&gt;=0,COUNTA(N4:N22)&lt;19),0+COUNTA(N4:N22),19)</f>
        <v>0</v>
      </c>
      <c r="O23" s="126">
        <f t="shared" ref="O23" si="6">IF(AND(COUNTA(O4:O22)&gt;=0,COUNTA(O4:O22)&lt;19),0+COUNTA(O4:O22),19)</f>
        <v>0</v>
      </c>
      <c r="P23" s="126">
        <f t="shared" ref="P23" si="7">IF(AND(COUNTA(P4:P22)&gt;=0,COUNTA(P4:P22)&lt;19),0+COUNTA(P4:P22),19)</f>
        <v>0</v>
      </c>
      <c r="Q23" s="126">
        <f t="shared" ref="Q23" si="8">IF(AND(COUNTA(Q4:Q22)&gt;=0,COUNTA(Q4:Q22)&lt;19),0+COUNTA(Q4:Q22),19)</f>
        <v>0</v>
      </c>
      <c r="R23" s="126">
        <f t="shared" ref="R23" si="9">IF(AND(COUNTA(R4:R22)&gt;=0,COUNTA(R4:R22)&lt;19),0+COUNTA(R4:R22),19)</f>
        <v>0</v>
      </c>
    </row>
    <row r="24" spans="1:18" ht="15.75" thickBot="1" x14ac:dyDescent="0.3"/>
    <row r="25" spans="1:18" ht="15.75" thickBot="1" x14ac:dyDescent="0.3">
      <c r="A25" s="540" t="s">
        <v>272</v>
      </c>
      <c r="B25" s="541"/>
      <c r="C25" s="542"/>
      <c r="D25" s="187"/>
    </row>
    <row r="26" spans="1:18" ht="37.5" customHeight="1" thickBot="1" x14ac:dyDescent="0.3">
      <c r="A26" s="130" t="s">
        <v>273</v>
      </c>
      <c r="B26" s="131" t="s">
        <v>65</v>
      </c>
      <c r="C26" s="131" t="s">
        <v>274</v>
      </c>
      <c r="D26" s="188"/>
    </row>
    <row r="27" spans="1:18" ht="15.75" thickBot="1" x14ac:dyDescent="0.3">
      <c r="A27" s="132" t="s">
        <v>81</v>
      </c>
      <c r="B27" s="133" t="s">
        <v>275</v>
      </c>
      <c r="C27" s="134" t="s">
        <v>276</v>
      </c>
      <c r="D27" s="189"/>
    </row>
    <row r="28" spans="1:18" ht="15.75" thickBot="1" x14ac:dyDescent="0.3">
      <c r="A28" s="132" t="s">
        <v>277</v>
      </c>
      <c r="B28" s="133" t="s">
        <v>278</v>
      </c>
      <c r="C28" s="135" t="s">
        <v>279</v>
      </c>
      <c r="D28" s="190"/>
    </row>
    <row r="29" spans="1:18" ht="15.75" thickBot="1" x14ac:dyDescent="0.3">
      <c r="A29" s="132" t="s">
        <v>85</v>
      </c>
      <c r="B29" s="133" t="s">
        <v>280</v>
      </c>
      <c r="C29" s="136" t="s">
        <v>281</v>
      </c>
      <c r="D29" s="189"/>
      <c r="H29" s="186"/>
    </row>
    <row r="32" spans="1:18" x14ac:dyDescent="0.25">
      <c r="A32" s="185" t="s">
        <v>250</v>
      </c>
    </row>
    <row r="33" spans="1:1" x14ac:dyDescent="0.25">
      <c r="A33" s="185" t="s">
        <v>251</v>
      </c>
    </row>
  </sheetData>
  <mergeCells count="2">
    <mergeCell ref="A2:E2"/>
    <mergeCell ref="A25:C25"/>
  </mergeCells>
  <conditionalFormatting sqref="C23:R23">
    <cfRule type="cellIs" dxfId="6" priority="4" operator="between">
      <formula>12</formula>
      <formula>19</formula>
    </cfRule>
    <cfRule type="cellIs" dxfId="5" priority="5" operator="between">
      <formula>6</formula>
      <formula>11</formula>
    </cfRule>
    <cfRule type="cellIs" dxfId="4" priority="6" operator="between">
      <formula>1</formula>
      <formula>5</formula>
    </cfRule>
  </conditionalFormatting>
  <dataValidations count="1">
    <dataValidation type="list" allowBlank="1" showInputMessage="1" showErrorMessage="1" sqref="C4:R22" xr:uid="{00000000-0002-0000-0600-000000000000}">
      <formula1>$A$32:$A$33</formula1>
    </dataValidation>
  </dataValidations>
  <pageMargins left="0.7" right="0.7" top="0.75" bottom="0.75" header="0.3" footer="0.3"/>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rgb="FF00B0F0"/>
  </sheetPr>
  <dimension ref="A1:AK55"/>
  <sheetViews>
    <sheetView zoomScale="90" zoomScaleNormal="90" workbookViewId="0">
      <selection activeCell="B1" sqref="B1:D8"/>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43" t="s">
        <v>55</v>
      </c>
      <c r="C1" s="543"/>
      <c r="D1" s="543"/>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tabColor theme="6" tint="-0.249977111117893"/>
  </sheetPr>
  <dimension ref="A1:U232"/>
  <sheetViews>
    <sheetView zoomScale="60" zoomScaleNormal="60" workbookViewId="0">
      <selection activeCell="D39" sqref="D39"/>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44" t="s">
        <v>63</v>
      </c>
      <c r="C1" s="544"/>
      <c r="D1" s="544"/>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155</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143</v>
      </c>
      <c r="D11" s="89" t="s">
        <v>150</v>
      </c>
      <c r="E11" s="69"/>
      <c r="F11" s="69"/>
      <c r="G11" s="69"/>
      <c r="H11" s="69"/>
      <c r="I11" s="69"/>
      <c r="J11" s="69"/>
      <c r="K11" s="69"/>
      <c r="L11" s="69"/>
      <c r="M11" s="69"/>
      <c r="N11" s="69"/>
      <c r="O11" s="69"/>
      <c r="P11" s="69"/>
      <c r="Q11" s="69"/>
      <c r="R11" s="69"/>
      <c r="S11" s="69"/>
      <c r="T11" s="69"/>
      <c r="U11" s="69"/>
    </row>
    <row r="12" spans="1:21" x14ac:dyDescent="0.25">
      <c r="A12" s="89"/>
      <c r="B12" s="89" t="s">
        <v>89</v>
      </c>
      <c r="C12" s="89" t="s">
        <v>147</v>
      </c>
      <c r="D12" s="89" t="s">
        <v>151</v>
      </c>
      <c r="E12" s="69"/>
      <c r="F12" s="69"/>
      <c r="G12" s="69"/>
      <c r="H12" s="69"/>
      <c r="I12" s="69"/>
      <c r="J12" s="69"/>
      <c r="K12" s="69"/>
      <c r="L12" s="69"/>
      <c r="M12" s="69"/>
      <c r="N12" s="69"/>
      <c r="O12" s="69"/>
      <c r="P12" s="69"/>
      <c r="Q12" s="69"/>
      <c r="R12" s="69"/>
      <c r="S12" s="69"/>
      <c r="T12" s="69"/>
      <c r="U12" s="69"/>
    </row>
    <row r="13" spans="1:21" x14ac:dyDescent="0.25">
      <c r="A13" s="89"/>
      <c r="B13" s="89"/>
      <c r="C13" s="89" t="s">
        <v>146</v>
      </c>
      <c r="D13" s="89" t="s">
        <v>152</v>
      </c>
      <c r="E13" s="69"/>
      <c r="F13" s="69"/>
      <c r="G13" s="69"/>
      <c r="H13" s="69"/>
      <c r="I13" s="69"/>
      <c r="J13" s="69"/>
      <c r="K13" s="69"/>
      <c r="L13" s="69"/>
      <c r="M13" s="69"/>
      <c r="N13" s="69"/>
      <c r="O13" s="69"/>
      <c r="P13" s="69"/>
      <c r="Q13" s="69"/>
      <c r="R13" s="69"/>
      <c r="S13" s="69"/>
      <c r="T13" s="69"/>
      <c r="U13" s="69"/>
    </row>
    <row r="14" spans="1:21" x14ac:dyDescent="0.25">
      <c r="A14" s="89"/>
      <c r="B14" s="89"/>
      <c r="C14" s="89" t="s">
        <v>148</v>
      </c>
      <c r="D14" s="89" t="s">
        <v>153</v>
      </c>
      <c r="E14" s="69"/>
      <c r="F14" s="69"/>
      <c r="G14" s="69"/>
      <c r="H14" s="69"/>
      <c r="I14" s="69"/>
      <c r="J14" s="69"/>
      <c r="K14" s="69"/>
      <c r="L14" s="69"/>
      <c r="M14" s="69"/>
      <c r="N14" s="69"/>
      <c r="O14" s="69"/>
      <c r="P14" s="69"/>
      <c r="Q14" s="69"/>
      <c r="R14" s="69"/>
      <c r="S14" s="69"/>
      <c r="T14" s="69"/>
      <c r="U14" s="69"/>
    </row>
    <row r="15" spans="1:21" x14ac:dyDescent="0.25">
      <c r="A15" s="89"/>
      <c r="B15" s="89"/>
      <c r="C15" s="89" t="s">
        <v>149</v>
      </c>
      <c r="D15" s="89" t="s">
        <v>154</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142</v>
      </c>
      <c r="D209" s="19" t="s">
        <v>88</v>
      </c>
      <c r="E209" s="19" t="s">
        <v>142</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cm="1">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144</v>
      </c>
    </row>
    <row r="224" spans="1:8" x14ac:dyDescent="0.25">
      <c r="B224" s="14"/>
      <c r="C224" s="14"/>
      <c r="F224" s="21" t="s">
        <v>145</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800-000000000000}">
      <formula1>$F$210:$F$221</formula1>
    </dataValidation>
  </dataValidations>
  <pageMargins left="0.7" right="0.7" top="0.75" bottom="0.75" header="0.3" footer="0.3"/>
  <pageSetup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Pagina SIG</vt:lpstr>
      <vt:lpstr>Intructivo</vt:lpstr>
      <vt:lpstr>Intructivo.</vt:lpstr>
      <vt:lpstr>Mapa final</vt:lpstr>
      <vt:lpstr>Matriz Calor Inherente</vt:lpstr>
      <vt:lpstr>Matriz Calor Residual</vt:lpstr>
      <vt:lpstr>Tabla Impacto Corrupción R1</vt:lpstr>
      <vt:lpstr>Tabla probabilidad</vt:lpstr>
      <vt:lpstr>Tabla Impacto</vt:lpstr>
      <vt:lpstr>Tabla Valoración controles</vt:lpstr>
      <vt:lpstr>Parametros</vt:lpstr>
      <vt:lpstr>Opciones Tratamiento</vt:lpstr>
      <vt:lpstr>Hoja1</vt:lpstr>
      <vt:lpstr>'Mapa final'!Área_de_impresión</vt:lpstr>
      <vt:lpstr>'Mapa final'!Títulos_a_imprimir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TASD. Julia STella  Romero Sandoval</cp:lastModifiedBy>
  <cp:lastPrinted>2022-09-21T18:58:09Z</cp:lastPrinted>
  <dcterms:created xsi:type="dcterms:W3CDTF">2020-03-24T23:12:47Z</dcterms:created>
  <dcterms:modified xsi:type="dcterms:W3CDTF">2023-05-11T21:55:24Z</dcterms:modified>
</cp:coreProperties>
</file>