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pivotTables/pivotTable1.xml" ContentType="application/vnd.openxmlformats-officedocument.spreadsheetml.pivotTable+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hidePivotFieldList="1" defaultThemeVersion="124226"/>
  <mc:AlternateContent xmlns:mc="http://schemas.openxmlformats.org/markup-compatibility/2006">
    <mc:Choice Requires="x15">
      <x15ac:absPath xmlns:x15ac="http://schemas.microsoft.com/office/spreadsheetml/2010/11/ac" url="C:\Users\adriana.espinel\OneDrive - DIRECCION GENERAL SANIDAD MILITAR\Desktop\GESTION  DE CALIDAD 2025\CONTRALORIA GENERAL DE LA NACION\"/>
    </mc:Choice>
  </mc:AlternateContent>
  <xr:revisionPtr revIDLastSave="0" documentId="8_{4A6ED17A-1C22-45B7-9440-15FD8EFEC7D9}" xr6:coauthVersionLast="47" xr6:coauthVersionMax="47" xr10:uidLastSave="{00000000-0000-0000-0000-000000000000}"/>
  <bookViews>
    <workbookView xWindow="-120" yWindow="-120" windowWidth="29040" windowHeight="15720" tabRatio="882" xr2:uid="{00000000-000D-0000-FFFF-FFFF00000000}"/>
  </bookViews>
  <sheets>
    <sheet name="Mapa DIGSA" sheetId="1" r:id="rId1"/>
    <sheet name="Matriz Calor Inherente" sheetId="18" state="hidden" r:id="rId2"/>
    <sheet name="Matriz Calor Residual" sheetId="19" state="hidden" r:id="rId3"/>
    <sheet name="Tabla probabilidad" sheetId="12" state="hidden" r:id="rId4"/>
    <sheet name="Tabla Impacto" sheetId="13" state="hidden" r:id="rId5"/>
    <sheet name="Tabla Impacto Corrupción" sheetId="22" state="hidden" r:id="rId6"/>
    <sheet name="Tabla Valoración controles" sheetId="15" state="hidden" r:id="rId7"/>
    <sheet name="PARAMETROS" sheetId="16" state="hidden" r:id="rId8"/>
  </sheets>
  <definedNames>
    <definedName name="_xlnm._FilterDatabase" localSheetId="0" hidden="1">'Mapa DIGSA'!$A$11:$BV$326</definedName>
    <definedName name="_xlnm.Print_Area" localSheetId="0">'Mapa DIGSA'!$A$1:$AP$70</definedName>
    <definedName name="_xlnm.Print_Titles" localSheetId="0">'Mapa DIGSA'!$1:$6</definedName>
  </definedNames>
  <calcPr calcId="191029"/>
  <pivotCaches>
    <pivotCache cacheId="0" r:id="rId9"/>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49" i="1" l="1"/>
  <c r="P80" i="1" l="1"/>
  <c r="V80" i="1"/>
  <c r="Y80" i="1"/>
  <c r="P81" i="1"/>
  <c r="V81" i="1"/>
  <c r="Y81" i="1"/>
  <c r="AC81" i="1" l="1"/>
  <c r="AD81" i="1" s="1"/>
  <c r="AG81" i="1"/>
  <c r="AF81" i="1" s="1"/>
  <c r="AE81" i="1"/>
  <c r="M66" i="1"/>
  <c r="N66" i="1" s="1"/>
  <c r="M71" i="1"/>
  <c r="N71" i="1" s="1"/>
  <c r="M76" i="1"/>
  <c r="N76" i="1" s="1"/>
  <c r="M82" i="1"/>
  <c r="N82" i="1" s="1"/>
  <c r="M88" i="1"/>
  <c r="N88" i="1" s="1"/>
  <c r="M94" i="1"/>
  <c r="N94" i="1" s="1"/>
  <c r="M97" i="1"/>
  <c r="N97" i="1" s="1"/>
  <c r="M101" i="1"/>
  <c r="N101" i="1" s="1"/>
  <c r="M103" i="1"/>
  <c r="N103" i="1" s="1"/>
  <c r="M105" i="1"/>
  <c r="N105" i="1" s="1"/>
  <c r="M111" i="1"/>
  <c r="N111" i="1" s="1"/>
  <c r="M117" i="1"/>
  <c r="N117" i="1" s="1"/>
  <c r="M123" i="1"/>
  <c r="N123" i="1" s="1"/>
  <c r="M129" i="1"/>
  <c r="N129" i="1" s="1"/>
  <c r="M135" i="1"/>
  <c r="N135" i="1" s="1"/>
  <c r="M141" i="1"/>
  <c r="N141" i="1" s="1"/>
  <c r="M147" i="1"/>
  <c r="N147" i="1" s="1"/>
  <c r="M153" i="1"/>
  <c r="N153" i="1" s="1"/>
  <c r="M159" i="1"/>
  <c r="N159" i="1" s="1"/>
  <c r="M165" i="1"/>
  <c r="M171" i="1"/>
  <c r="N171" i="1" s="1"/>
  <c r="M177" i="1"/>
  <c r="N177" i="1" s="1"/>
  <c r="M183" i="1"/>
  <c r="N183" i="1" s="1"/>
  <c r="M189" i="1"/>
  <c r="N189" i="1" s="1"/>
  <c r="M195" i="1"/>
  <c r="N195" i="1" s="1"/>
  <c r="M201" i="1"/>
  <c r="N201" i="1" s="1"/>
  <c r="M207" i="1"/>
  <c r="N207" i="1" s="1"/>
  <c r="M213" i="1"/>
  <c r="N213" i="1" s="1"/>
  <c r="M219" i="1"/>
  <c r="N219" i="1" s="1"/>
  <c r="M225" i="1"/>
  <c r="N225" i="1" s="1"/>
  <c r="M231" i="1"/>
  <c r="N231" i="1" s="1"/>
  <c r="M237" i="1"/>
  <c r="N237" i="1" s="1"/>
  <c r="M243" i="1"/>
  <c r="N243" i="1" s="1"/>
  <c r="M249" i="1"/>
  <c r="N249" i="1" s="1"/>
  <c r="M255" i="1"/>
  <c r="N255" i="1" s="1"/>
  <c r="M261" i="1"/>
  <c r="N261" i="1" s="1"/>
  <c r="M267" i="1"/>
  <c r="N267" i="1" s="1"/>
  <c r="M273" i="1"/>
  <c r="N273" i="1" s="1"/>
  <c r="M279" i="1"/>
  <c r="N279" i="1" s="1"/>
  <c r="M285" i="1"/>
  <c r="N285" i="1" s="1"/>
  <c r="M291" i="1"/>
  <c r="N291" i="1" s="1"/>
  <c r="M297" i="1"/>
  <c r="N297" i="1" s="1"/>
  <c r="M303" i="1"/>
  <c r="N303" i="1" s="1"/>
  <c r="M309" i="1"/>
  <c r="N309" i="1" s="1"/>
  <c r="M315" i="1"/>
  <c r="N315" i="1" s="1"/>
  <c r="M321" i="1"/>
  <c r="N321" i="1" s="1"/>
  <c r="V66" i="1"/>
  <c r="Y66" i="1"/>
  <c r="V67" i="1"/>
  <c r="Y67" i="1"/>
  <c r="V68" i="1"/>
  <c r="Y68" i="1"/>
  <c r="V69" i="1"/>
  <c r="Y69" i="1"/>
  <c r="V70" i="1"/>
  <c r="Y70" i="1"/>
  <c r="Y326" i="1"/>
  <c r="V326" i="1"/>
  <c r="P326" i="1"/>
  <c r="Y325" i="1"/>
  <c r="V325" i="1"/>
  <c r="P325" i="1"/>
  <c r="Y324" i="1"/>
  <c r="V324" i="1"/>
  <c r="P324" i="1"/>
  <c r="Y323" i="1"/>
  <c r="V323" i="1"/>
  <c r="P323" i="1"/>
  <c r="Y322" i="1"/>
  <c r="V322" i="1"/>
  <c r="P322" i="1"/>
  <c r="Y321" i="1"/>
  <c r="V321" i="1"/>
  <c r="P321" i="1"/>
  <c r="Q321" i="1" s="1"/>
  <c r="Y320" i="1"/>
  <c r="V320" i="1"/>
  <c r="P320" i="1"/>
  <c r="Y319" i="1"/>
  <c r="V319" i="1"/>
  <c r="P319" i="1"/>
  <c r="Y318" i="1"/>
  <c r="V318" i="1"/>
  <c r="AC319" i="1" s="1"/>
  <c r="AE319" i="1" s="1"/>
  <c r="P318" i="1"/>
  <c r="Y317" i="1"/>
  <c r="V317" i="1"/>
  <c r="P317" i="1"/>
  <c r="Y316" i="1"/>
  <c r="V316" i="1"/>
  <c r="P316" i="1"/>
  <c r="Y315" i="1"/>
  <c r="V315" i="1"/>
  <c r="P315" i="1"/>
  <c r="Q315" i="1" s="1"/>
  <c r="R315" i="1" s="1"/>
  <c r="Y314" i="1"/>
  <c r="V314" i="1"/>
  <c r="P314" i="1"/>
  <c r="Y313" i="1"/>
  <c r="V313" i="1"/>
  <c r="P313" i="1"/>
  <c r="Y312" i="1"/>
  <c r="V312" i="1"/>
  <c r="AC313" i="1" s="1"/>
  <c r="AE313" i="1" s="1"/>
  <c r="P312" i="1"/>
  <c r="Y311" i="1"/>
  <c r="V311" i="1"/>
  <c r="P311" i="1"/>
  <c r="Y310" i="1"/>
  <c r="V310" i="1"/>
  <c r="P310" i="1"/>
  <c r="Y309" i="1"/>
  <c r="V309" i="1"/>
  <c r="P309" i="1"/>
  <c r="Q309" i="1" s="1"/>
  <c r="R309" i="1" s="1"/>
  <c r="Y308" i="1"/>
  <c r="V308" i="1"/>
  <c r="P308" i="1"/>
  <c r="Y307" i="1"/>
  <c r="V307" i="1"/>
  <c r="P307" i="1"/>
  <c r="Y306" i="1"/>
  <c r="V306" i="1"/>
  <c r="P306" i="1"/>
  <c r="Y305" i="1"/>
  <c r="V305" i="1"/>
  <c r="P305" i="1"/>
  <c r="Y304" i="1"/>
  <c r="V304" i="1"/>
  <c r="P304" i="1"/>
  <c r="Y303" i="1"/>
  <c r="V303" i="1"/>
  <c r="P303" i="1"/>
  <c r="Q303" i="1" s="1"/>
  <c r="R303" i="1" s="1"/>
  <c r="Y302" i="1"/>
  <c r="V302" i="1"/>
  <c r="P302" i="1"/>
  <c r="Y301" i="1"/>
  <c r="V301" i="1"/>
  <c r="P301" i="1"/>
  <c r="Y300" i="1"/>
  <c r="V300" i="1"/>
  <c r="P300" i="1"/>
  <c r="Y299" i="1"/>
  <c r="V299" i="1"/>
  <c r="P299" i="1"/>
  <c r="Y298" i="1"/>
  <c r="V298" i="1"/>
  <c r="P298" i="1"/>
  <c r="Y297" i="1"/>
  <c r="V297" i="1"/>
  <c r="P297" i="1"/>
  <c r="Q297" i="1" s="1"/>
  <c r="Y296" i="1"/>
  <c r="V296" i="1"/>
  <c r="P296" i="1"/>
  <c r="Y295" i="1"/>
  <c r="V295" i="1"/>
  <c r="P295" i="1"/>
  <c r="Y294" i="1"/>
  <c r="V294" i="1"/>
  <c r="P294" i="1"/>
  <c r="Y293" i="1"/>
  <c r="V293" i="1"/>
  <c r="P293" i="1"/>
  <c r="Y292" i="1"/>
  <c r="V292" i="1"/>
  <c r="P292" i="1"/>
  <c r="Y291" i="1"/>
  <c r="V291" i="1"/>
  <c r="P291" i="1"/>
  <c r="Q291" i="1" s="1"/>
  <c r="R291" i="1" s="1"/>
  <c r="Y290" i="1"/>
  <c r="V290" i="1"/>
  <c r="P290" i="1"/>
  <c r="Y289" i="1"/>
  <c r="V289" i="1"/>
  <c r="P289" i="1"/>
  <c r="Y288" i="1"/>
  <c r="V288" i="1"/>
  <c r="P288" i="1"/>
  <c r="Y287" i="1"/>
  <c r="V287" i="1"/>
  <c r="P287" i="1"/>
  <c r="Y286" i="1"/>
  <c r="V286" i="1"/>
  <c r="P286" i="1"/>
  <c r="Y285" i="1"/>
  <c r="V285" i="1"/>
  <c r="P285" i="1"/>
  <c r="Q285" i="1" s="1"/>
  <c r="R285" i="1" s="1"/>
  <c r="Y284" i="1"/>
  <c r="V284" i="1"/>
  <c r="P284" i="1"/>
  <c r="Y283" i="1"/>
  <c r="V283" i="1"/>
  <c r="P283" i="1"/>
  <c r="Y282" i="1"/>
  <c r="V282" i="1"/>
  <c r="P282" i="1"/>
  <c r="Y281" i="1"/>
  <c r="V281" i="1"/>
  <c r="P281" i="1"/>
  <c r="Y280" i="1"/>
  <c r="V280" i="1"/>
  <c r="P280" i="1"/>
  <c r="Y279" i="1"/>
  <c r="V279" i="1"/>
  <c r="P279" i="1"/>
  <c r="Q279" i="1" s="1"/>
  <c r="R279" i="1" s="1"/>
  <c r="Y278" i="1"/>
  <c r="V278" i="1"/>
  <c r="P278" i="1"/>
  <c r="Y277" i="1"/>
  <c r="V277" i="1"/>
  <c r="P277" i="1"/>
  <c r="Y276" i="1"/>
  <c r="V276" i="1"/>
  <c r="P276" i="1"/>
  <c r="Y275" i="1"/>
  <c r="V275" i="1"/>
  <c r="P275" i="1"/>
  <c r="Y274" i="1"/>
  <c r="V274" i="1"/>
  <c r="P274" i="1"/>
  <c r="Y273" i="1"/>
  <c r="V273" i="1"/>
  <c r="P273" i="1"/>
  <c r="Q273" i="1" s="1"/>
  <c r="Y272" i="1"/>
  <c r="V272" i="1"/>
  <c r="P272" i="1"/>
  <c r="Y271" i="1"/>
  <c r="V271" i="1"/>
  <c r="P271" i="1"/>
  <c r="Y270" i="1"/>
  <c r="V270" i="1"/>
  <c r="P270" i="1"/>
  <c r="Y269" i="1"/>
  <c r="V269" i="1"/>
  <c r="P269" i="1"/>
  <c r="Y268" i="1"/>
  <c r="V268" i="1"/>
  <c r="P268" i="1"/>
  <c r="Y267" i="1"/>
  <c r="V267" i="1"/>
  <c r="P267" i="1"/>
  <c r="Q267" i="1" s="1"/>
  <c r="R267" i="1" s="1"/>
  <c r="Y266" i="1"/>
  <c r="V266" i="1"/>
  <c r="P266" i="1"/>
  <c r="Y265" i="1"/>
  <c r="V265" i="1"/>
  <c r="P265" i="1"/>
  <c r="Y264" i="1"/>
  <c r="V264" i="1"/>
  <c r="P264" i="1"/>
  <c r="Y263" i="1"/>
  <c r="V263" i="1"/>
  <c r="P263" i="1"/>
  <c r="Y262" i="1"/>
  <c r="V262" i="1"/>
  <c r="P262" i="1"/>
  <c r="Y261" i="1"/>
  <c r="V261" i="1"/>
  <c r="P261" i="1"/>
  <c r="Q261" i="1" s="1"/>
  <c r="R261" i="1" s="1"/>
  <c r="Y260" i="1"/>
  <c r="V260" i="1"/>
  <c r="P260" i="1"/>
  <c r="Y259" i="1"/>
  <c r="V259" i="1"/>
  <c r="P259" i="1"/>
  <c r="Y258" i="1"/>
  <c r="V258" i="1"/>
  <c r="P258" i="1"/>
  <c r="Y257" i="1"/>
  <c r="V257" i="1"/>
  <c r="P257" i="1"/>
  <c r="Y256" i="1"/>
  <c r="V256" i="1"/>
  <c r="P256" i="1"/>
  <c r="Y255" i="1"/>
  <c r="V255" i="1"/>
  <c r="P255" i="1"/>
  <c r="Q255" i="1" s="1"/>
  <c r="R255" i="1" s="1"/>
  <c r="Y254" i="1"/>
  <c r="V254" i="1"/>
  <c r="P254" i="1"/>
  <c r="Y253" i="1"/>
  <c r="V253" i="1"/>
  <c r="P253" i="1"/>
  <c r="Y252" i="1"/>
  <c r="V252" i="1"/>
  <c r="P252" i="1"/>
  <c r="Y251" i="1"/>
  <c r="V251" i="1"/>
  <c r="P251" i="1"/>
  <c r="Y250" i="1"/>
  <c r="V250" i="1"/>
  <c r="P250" i="1"/>
  <c r="Y249" i="1"/>
  <c r="V249" i="1"/>
  <c r="P249" i="1"/>
  <c r="Q249" i="1" s="1"/>
  <c r="Y248" i="1"/>
  <c r="V248" i="1"/>
  <c r="P248" i="1"/>
  <c r="Y247" i="1"/>
  <c r="V247" i="1"/>
  <c r="P247" i="1"/>
  <c r="Y246" i="1"/>
  <c r="V246" i="1"/>
  <c r="P246" i="1"/>
  <c r="Y245" i="1"/>
  <c r="V245" i="1"/>
  <c r="P245" i="1"/>
  <c r="Y244" i="1"/>
  <c r="V244" i="1"/>
  <c r="P244" i="1"/>
  <c r="Y243" i="1"/>
  <c r="V243" i="1"/>
  <c r="P243" i="1"/>
  <c r="Q243" i="1" s="1"/>
  <c r="R243" i="1" s="1"/>
  <c r="Y242" i="1"/>
  <c r="V242" i="1"/>
  <c r="P242" i="1"/>
  <c r="Y241" i="1"/>
  <c r="V241" i="1"/>
  <c r="P241" i="1"/>
  <c r="Y240" i="1"/>
  <c r="V240" i="1"/>
  <c r="P240" i="1"/>
  <c r="Y239" i="1"/>
  <c r="V239" i="1"/>
  <c r="P239" i="1"/>
  <c r="Y238" i="1"/>
  <c r="V238" i="1"/>
  <c r="P238" i="1"/>
  <c r="Y237" i="1"/>
  <c r="V237" i="1"/>
  <c r="P237" i="1"/>
  <c r="Q237" i="1" s="1"/>
  <c r="R237" i="1" s="1"/>
  <c r="Y236" i="1"/>
  <c r="V236" i="1"/>
  <c r="P236" i="1"/>
  <c r="Y235" i="1"/>
  <c r="V235" i="1"/>
  <c r="P235" i="1"/>
  <c r="Y234" i="1"/>
  <c r="V234" i="1"/>
  <c r="P234" i="1"/>
  <c r="Y233" i="1"/>
  <c r="V233" i="1"/>
  <c r="P233" i="1"/>
  <c r="Y232" i="1"/>
  <c r="V232" i="1"/>
  <c r="P232" i="1"/>
  <c r="Y231" i="1"/>
  <c r="V231" i="1"/>
  <c r="P231" i="1"/>
  <c r="Q231" i="1" s="1"/>
  <c r="Y230" i="1"/>
  <c r="V230" i="1"/>
  <c r="P230" i="1"/>
  <c r="Y229" i="1"/>
  <c r="V229" i="1"/>
  <c r="P229" i="1"/>
  <c r="Y228" i="1"/>
  <c r="V228" i="1"/>
  <c r="P228" i="1"/>
  <c r="Y227" i="1"/>
  <c r="V227" i="1"/>
  <c r="P227" i="1"/>
  <c r="Y226" i="1"/>
  <c r="V226" i="1"/>
  <c r="P226" i="1"/>
  <c r="Y225" i="1"/>
  <c r="V225" i="1"/>
  <c r="P225" i="1"/>
  <c r="Q225" i="1" s="1"/>
  <c r="Y224" i="1"/>
  <c r="V224" i="1"/>
  <c r="P224" i="1"/>
  <c r="Y223" i="1"/>
  <c r="V223" i="1"/>
  <c r="P223" i="1"/>
  <c r="Y222" i="1"/>
  <c r="V222" i="1"/>
  <c r="P222" i="1"/>
  <c r="Y221" i="1"/>
  <c r="V221" i="1"/>
  <c r="P221" i="1"/>
  <c r="Y220" i="1"/>
  <c r="V220" i="1"/>
  <c r="P220" i="1"/>
  <c r="Y219" i="1"/>
  <c r="V219" i="1"/>
  <c r="P219" i="1"/>
  <c r="Q219" i="1" s="1"/>
  <c r="R219" i="1" s="1"/>
  <c r="Y218" i="1"/>
  <c r="V218" i="1"/>
  <c r="P218" i="1"/>
  <c r="Y217" i="1"/>
  <c r="V217" i="1"/>
  <c r="P217" i="1"/>
  <c r="Y216" i="1"/>
  <c r="V216" i="1"/>
  <c r="P216" i="1"/>
  <c r="Y215" i="1"/>
  <c r="V215" i="1"/>
  <c r="P215" i="1"/>
  <c r="Y214" i="1"/>
  <c r="V214" i="1"/>
  <c r="P214" i="1"/>
  <c r="Y213" i="1"/>
  <c r="V213" i="1"/>
  <c r="P213" i="1"/>
  <c r="Q213" i="1" s="1"/>
  <c r="R213" i="1" s="1"/>
  <c r="Y212" i="1"/>
  <c r="V212" i="1"/>
  <c r="P212" i="1"/>
  <c r="Y211" i="1"/>
  <c r="V211" i="1"/>
  <c r="P211" i="1"/>
  <c r="Y210" i="1"/>
  <c r="V210" i="1"/>
  <c r="P210" i="1"/>
  <c r="Y209" i="1"/>
  <c r="V209" i="1"/>
  <c r="P209" i="1"/>
  <c r="Y208" i="1"/>
  <c r="V208" i="1"/>
  <c r="P208" i="1"/>
  <c r="Y207" i="1"/>
  <c r="V207" i="1"/>
  <c r="P207" i="1"/>
  <c r="Q207" i="1" s="1"/>
  <c r="R207" i="1" s="1"/>
  <c r="Y206" i="1"/>
  <c r="V206" i="1"/>
  <c r="P206" i="1"/>
  <c r="Y205" i="1"/>
  <c r="V205" i="1"/>
  <c r="P205" i="1"/>
  <c r="Y204" i="1"/>
  <c r="V204" i="1"/>
  <c r="P204" i="1"/>
  <c r="Y203" i="1"/>
  <c r="V203" i="1"/>
  <c r="P203" i="1"/>
  <c r="Y202" i="1"/>
  <c r="V202" i="1"/>
  <c r="P202" i="1"/>
  <c r="Y201" i="1"/>
  <c r="V201" i="1"/>
  <c r="P201" i="1"/>
  <c r="Q201" i="1" s="1"/>
  <c r="R201" i="1" s="1"/>
  <c r="Y200" i="1"/>
  <c r="V200" i="1"/>
  <c r="P200" i="1"/>
  <c r="Y199" i="1"/>
  <c r="V199" i="1"/>
  <c r="P199" i="1"/>
  <c r="Y198" i="1"/>
  <c r="V198" i="1"/>
  <c r="P198" i="1"/>
  <c r="Y197" i="1"/>
  <c r="V197" i="1"/>
  <c r="P197" i="1"/>
  <c r="Y196" i="1"/>
  <c r="V196" i="1"/>
  <c r="P196" i="1"/>
  <c r="Y195" i="1"/>
  <c r="V195" i="1"/>
  <c r="P195" i="1"/>
  <c r="Q195" i="1" s="1"/>
  <c r="R195" i="1" s="1"/>
  <c r="Y194" i="1"/>
  <c r="V194" i="1"/>
  <c r="P194" i="1"/>
  <c r="Y193" i="1"/>
  <c r="V193" i="1"/>
  <c r="P193" i="1"/>
  <c r="Y192" i="1"/>
  <c r="V192" i="1"/>
  <c r="P192" i="1"/>
  <c r="Y191" i="1"/>
  <c r="V191" i="1"/>
  <c r="P191" i="1"/>
  <c r="Y190" i="1"/>
  <c r="V190" i="1"/>
  <c r="P190" i="1"/>
  <c r="Y189" i="1"/>
  <c r="V189" i="1"/>
  <c r="P189" i="1"/>
  <c r="Q189" i="1" s="1"/>
  <c r="R189" i="1" s="1"/>
  <c r="Y188" i="1"/>
  <c r="V188" i="1"/>
  <c r="P188" i="1"/>
  <c r="Y187" i="1"/>
  <c r="V187" i="1"/>
  <c r="P187" i="1"/>
  <c r="Y186" i="1"/>
  <c r="V186" i="1"/>
  <c r="P186" i="1"/>
  <c r="Y185" i="1"/>
  <c r="V185" i="1"/>
  <c r="P185" i="1"/>
  <c r="Y184" i="1"/>
  <c r="V184" i="1"/>
  <c r="P184" i="1"/>
  <c r="Y183" i="1"/>
  <c r="V183" i="1"/>
  <c r="P183" i="1"/>
  <c r="Q183" i="1" s="1"/>
  <c r="Y182" i="1"/>
  <c r="V182" i="1"/>
  <c r="P182" i="1"/>
  <c r="Y181" i="1"/>
  <c r="V181" i="1"/>
  <c r="P181" i="1"/>
  <c r="Y180" i="1"/>
  <c r="V180" i="1"/>
  <c r="P180" i="1"/>
  <c r="Y179" i="1"/>
  <c r="V179" i="1"/>
  <c r="P179" i="1"/>
  <c r="Y178" i="1"/>
  <c r="V178" i="1"/>
  <c r="P178" i="1"/>
  <c r="Y177" i="1"/>
  <c r="V177" i="1"/>
  <c r="P177" i="1"/>
  <c r="Q177" i="1" s="1"/>
  <c r="Y176" i="1"/>
  <c r="V176" i="1"/>
  <c r="P176" i="1"/>
  <c r="Y175" i="1"/>
  <c r="V175" i="1"/>
  <c r="P175" i="1"/>
  <c r="Y174" i="1"/>
  <c r="V174" i="1"/>
  <c r="P174" i="1"/>
  <c r="Y173" i="1"/>
  <c r="V173" i="1"/>
  <c r="P173" i="1"/>
  <c r="Y172" i="1"/>
  <c r="V172" i="1"/>
  <c r="P172" i="1"/>
  <c r="Y171" i="1"/>
  <c r="V171" i="1"/>
  <c r="P171" i="1"/>
  <c r="Q171" i="1" s="1"/>
  <c r="R171" i="1" s="1"/>
  <c r="Y170" i="1"/>
  <c r="V170" i="1"/>
  <c r="P170" i="1"/>
  <c r="Y169" i="1"/>
  <c r="V169" i="1"/>
  <c r="P169" i="1"/>
  <c r="Y168" i="1"/>
  <c r="V168" i="1"/>
  <c r="P168" i="1"/>
  <c r="Y167" i="1"/>
  <c r="V167" i="1"/>
  <c r="P167" i="1"/>
  <c r="Y166" i="1"/>
  <c r="V166" i="1"/>
  <c r="P166" i="1"/>
  <c r="Y165" i="1"/>
  <c r="V165" i="1"/>
  <c r="P165" i="1"/>
  <c r="Q165" i="1" s="1"/>
  <c r="R165" i="1" s="1"/>
  <c r="Y164" i="1"/>
  <c r="V164" i="1"/>
  <c r="P164" i="1"/>
  <c r="Y163" i="1"/>
  <c r="V163" i="1"/>
  <c r="P163" i="1"/>
  <c r="Y162" i="1"/>
  <c r="V162" i="1"/>
  <c r="P162" i="1"/>
  <c r="Y161" i="1"/>
  <c r="V161" i="1"/>
  <c r="P161" i="1"/>
  <c r="Y160" i="1"/>
  <c r="V160" i="1"/>
  <c r="AC161" i="1" s="1"/>
  <c r="AD161" i="1" s="1"/>
  <c r="P160" i="1"/>
  <c r="Y159" i="1"/>
  <c r="V159" i="1"/>
  <c r="P159" i="1"/>
  <c r="Q159" i="1" s="1"/>
  <c r="R159" i="1" s="1"/>
  <c r="Y158" i="1"/>
  <c r="V158" i="1"/>
  <c r="P158" i="1"/>
  <c r="Y157" i="1"/>
  <c r="V157" i="1"/>
  <c r="P157" i="1"/>
  <c r="Y156" i="1"/>
  <c r="V156" i="1"/>
  <c r="P156" i="1"/>
  <c r="Y155" i="1"/>
  <c r="V155" i="1"/>
  <c r="P155" i="1"/>
  <c r="Y154" i="1"/>
  <c r="V154" i="1"/>
  <c r="P154" i="1"/>
  <c r="Y153" i="1"/>
  <c r="V153" i="1"/>
  <c r="P153" i="1"/>
  <c r="Q153" i="1" s="1"/>
  <c r="Y152" i="1"/>
  <c r="V152" i="1"/>
  <c r="P152" i="1"/>
  <c r="Y151" i="1"/>
  <c r="V151" i="1"/>
  <c r="P151" i="1"/>
  <c r="Y150" i="1"/>
  <c r="V150" i="1"/>
  <c r="P150" i="1"/>
  <c r="Y149" i="1"/>
  <c r="V149" i="1"/>
  <c r="P149" i="1"/>
  <c r="Y148" i="1"/>
  <c r="V148" i="1"/>
  <c r="P148" i="1"/>
  <c r="Y147" i="1"/>
  <c r="V147" i="1"/>
  <c r="P147" i="1"/>
  <c r="Q147" i="1" s="1"/>
  <c r="R147" i="1" s="1"/>
  <c r="Y146" i="1"/>
  <c r="V146" i="1"/>
  <c r="P146" i="1"/>
  <c r="Y145" i="1"/>
  <c r="V145" i="1"/>
  <c r="P145" i="1"/>
  <c r="Y144" i="1"/>
  <c r="V144" i="1"/>
  <c r="P144" i="1"/>
  <c r="Y143" i="1"/>
  <c r="V143" i="1"/>
  <c r="P143" i="1"/>
  <c r="Y142" i="1"/>
  <c r="V142" i="1"/>
  <c r="P142" i="1"/>
  <c r="Y141" i="1"/>
  <c r="V141" i="1"/>
  <c r="P141" i="1"/>
  <c r="Q141" i="1" s="1"/>
  <c r="R141" i="1" s="1"/>
  <c r="Y140" i="1"/>
  <c r="V140" i="1"/>
  <c r="P140" i="1"/>
  <c r="Y139" i="1"/>
  <c r="V139" i="1"/>
  <c r="P139" i="1"/>
  <c r="Y138" i="1"/>
  <c r="V138" i="1"/>
  <c r="P138" i="1"/>
  <c r="Y137" i="1"/>
  <c r="V137" i="1"/>
  <c r="P137" i="1"/>
  <c r="Y136" i="1"/>
  <c r="V136" i="1"/>
  <c r="P136" i="1"/>
  <c r="Y135" i="1"/>
  <c r="V135" i="1"/>
  <c r="P135" i="1"/>
  <c r="Q135" i="1" s="1"/>
  <c r="Y134" i="1"/>
  <c r="V134" i="1"/>
  <c r="P134" i="1"/>
  <c r="Y133" i="1"/>
  <c r="V133" i="1"/>
  <c r="P133" i="1"/>
  <c r="Y132" i="1"/>
  <c r="V132" i="1"/>
  <c r="P132" i="1"/>
  <c r="Y131" i="1"/>
  <c r="V131" i="1"/>
  <c r="P131" i="1"/>
  <c r="Y130" i="1"/>
  <c r="V130" i="1"/>
  <c r="P130" i="1"/>
  <c r="Y129" i="1"/>
  <c r="V129" i="1"/>
  <c r="P129" i="1"/>
  <c r="Q129" i="1" s="1"/>
  <c r="Y128" i="1"/>
  <c r="V128" i="1"/>
  <c r="P128" i="1"/>
  <c r="Y127" i="1"/>
  <c r="V127" i="1"/>
  <c r="P127" i="1"/>
  <c r="Y126" i="1"/>
  <c r="V126" i="1"/>
  <c r="P126" i="1"/>
  <c r="Y125" i="1"/>
  <c r="V125" i="1"/>
  <c r="P125" i="1"/>
  <c r="Y124" i="1"/>
  <c r="V124" i="1"/>
  <c r="P124" i="1"/>
  <c r="Y123" i="1"/>
  <c r="V123" i="1"/>
  <c r="P123" i="1"/>
  <c r="Q123" i="1" s="1"/>
  <c r="R123" i="1" s="1"/>
  <c r="Y122" i="1"/>
  <c r="V122" i="1"/>
  <c r="P122" i="1"/>
  <c r="Y121" i="1"/>
  <c r="V121" i="1"/>
  <c r="P121" i="1"/>
  <c r="Y120" i="1"/>
  <c r="V120" i="1"/>
  <c r="P120" i="1"/>
  <c r="Y119" i="1"/>
  <c r="V119" i="1"/>
  <c r="P119" i="1"/>
  <c r="Y118" i="1"/>
  <c r="V118" i="1"/>
  <c r="P118" i="1"/>
  <c r="Y117" i="1"/>
  <c r="V117" i="1"/>
  <c r="P117" i="1"/>
  <c r="Q117" i="1" s="1"/>
  <c r="R117" i="1" s="1"/>
  <c r="Y116" i="1"/>
  <c r="V116" i="1"/>
  <c r="P116" i="1"/>
  <c r="Y115" i="1"/>
  <c r="V115" i="1"/>
  <c r="P115" i="1"/>
  <c r="Y114" i="1"/>
  <c r="V114" i="1"/>
  <c r="P114" i="1"/>
  <c r="Y113" i="1"/>
  <c r="V113" i="1"/>
  <c r="P113" i="1"/>
  <c r="Y112" i="1"/>
  <c r="V112" i="1"/>
  <c r="P112" i="1"/>
  <c r="Y111" i="1"/>
  <c r="V111" i="1"/>
  <c r="P111" i="1"/>
  <c r="Q111" i="1" s="1"/>
  <c r="R111" i="1" s="1"/>
  <c r="Y110" i="1"/>
  <c r="V110" i="1"/>
  <c r="P110" i="1"/>
  <c r="Y109" i="1"/>
  <c r="V109" i="1"/>
  <c r="P109" i="1"/>
  <c r="Y108" i="1"/>
  <c r="V108" i="1"/>
  <c r="P108" i="1"/>
  <c r="Y107" i="1"/>
  <c r="V107" i="1"/>
  <c r="P107" i="1"/>
  <c r="Y106" i="1"/>
  <c r="V106" i="1"/>
  <c r="P106" i="1"/>
  <c r="Y105" i="1"/>
  <c r="V105" i="1"/>
  <c r="P105" i="1"/>
  <c r="Q105" i="1" s="1"/>
  <c r="Y104" i="1"/>
  <c r="V104" i="1"/>
  <c r="P104" i="1"/>
  <c r="Y103" i="1"/>
  <c r="V103" i="1"/>
  <c r="P103" i="1"/>
  <c r="Q103" i="1" s="1"/>
  <c r="R103" i="1" s="1"/>
  <c r="Y102" i="1"/>
  <c r="V102" i="1"/>
  <c r="P102" i="1"/>
  <c r="Y101" i="1"/>
  <c r="V101" i="1"/>
  <c r="P101" i="1"/>
  <c r="Q101" i="1" s="1"/>
  <c r="R101" i="1" s="1"/>
  <c r="Y100" i="1"/>
  <c r="V100" i="1"/>
  <c r="P100" i="1"/>
  <c r="Y99" i="1"/>
  <c r="V99" i="1"/>
  <c r="P99" i="1"/>
  <c r="Y98" i="1"/>
  <c r="V98" i="1"/>
  <c r="P98" i="1"/>
  <c r="Y97" i="1"/>
  <c r="V97" i="1"/>
  <c r="P97" i="1"/>
  <c r="Q97" i="1" s="1"/>
  <c r="R97" i="1" s="1"/>
  <c r="Y96" i="1"/>
  <c r="V96" i="1"/>
  <c r="P96" i="1"/>
  <c r="Y95" i="1"/>
  <c r="V95" i="1"/>
  <c r="P95" i="1"/>
  <c r="Y94" i="1"/>
  <c r="V94" i="1"/>
  <c r="P94" i="1"/>
  <c r="Q94" i="1" s="1"/>
  <c r="Y93" i="1"/>
  <c r="V93" i="1"/>
  <c r="P93" i="1"/>
  <c r="Y92" i="1"/>
  <c r="V92" i="1"/>
  <c r="P92" i="1"/>
  <c r="Y91" i="1"/>
  <c r="V91" i="1"/>
  <c r="P91" i="1"/>
  <c r="Y90" i="1"/>
  <c r="V90" i="1"/>
  <c r="P90" i="1"/>
  <c r="Y89" i="1"/>
  <c r="V89" i="1"/>
  <c r="P89" i="1"/>
  <c r="Y88" i="1"/>
  <c r="V88" i="1"/>
  <c r="P88" i="1"/>
  <c r="Q88" i="1" s="1"/>
  <c r="R88" i="1" s="1"/>
  <c r="Y87" i="1"/>
  <c r="V87" i="1"/>
  <c r="P87" i="1"/>
  <c r="Y86" i="1"/>
  <c r="V86" i="1"/>
  <c r="P86" i="1"/>
  <c r="Y85" i="1"/>
  <c r="V85" i="1"/>
  <c r="P85" i="1"/>
  <c r="Y84" i="1"/>
  <c r="V84" i="1"/>
  <c r="P84" i="1"/>
  <c r="Y83" i="1"/>
  <c r="V83" i="1"/>
  <c r="P83" i="1"/>
  <c r="Y82" i="1"/>
  <c r="V82" i="1"/>
  <c r="P82" i="1"/>
  <c r="Q82" i="1" s="1"/>
  <c r="R82" i="1" s="1"/>
  <c r="Y79" i="1"/>
  <c r="V79" i="1"/>
  <c r="P79" i="1"/>
  <c r="Y78" i="1"/>
  <c r="V78" i="1"/>
  <c r="P78" i="1"/>
  <c r="Y77" i="1"/>
  <c r="V77" i="1"/>
  <c r="P77" i="1"/>
  <c r="Y76" i="1"/>
  <c r="V76" i="1"/>
  <c r="P76" i="1"/>
  <c r="Q76" i="1" s="1"/>
  <c r="Y75" i="1"/>
  <c r="V75" i="1"/>
  <c r="P75" i="1"/>
  <c r="Y74" i="1"/>
  <c r="V74" i="1"/>
  <c r="P74" i="1"/>
  <c r="Y73" i="1"/>
  <c r="V73" i="1"/>
  <c r="P73" i="1"/>
  <c r="Y72" i="1"/>
  <c r="V72" i="1"/>
  <c r="P72" i="1"/>
  <c r="Y71" i="1"/>
  <c r="V71" i="1"/>
  <c r="P71" i="1"/>
  <c r="Q71" i="1" s="1"/>
  <c r="M42" i="1"/>
  <c r="AH81" i="1" l="1"/>
  <c r="AG141" i="1"/>
  <c r="AF141" i="1" s="1"/>
  <c r="AC171" i="1"/>
  <c r="AE171" i="1" s="1"/>
  <c r="AG291" i="1"/>
  <c r="AF291" i="1" s="1"/>
  <c r="AG237" i="1"/>
  <c r="AF237" i="1" s="1"/>
  <c r="AC129" i="1"/>
  <c r="AD129" i="1" s="1"/>
  <c r="AC159" i="1"/>
  <c r="AE159" i="1" s="1"/>
  <c r="AC160" i="1" s="1"/>
  <c r="AE160" i="1" s="1"/>
  <c r="AC297" i="1"/>
  <c r="AD297" i="1" s="1"/>
  <c r="AC303" i="1"/>
  <c r="AE303" i="1" s="1"/>
  <c r="AG82" i="1"/>
  <c r="AF82" i="1" s="1"/>
  <c r="AC204" i="1"/>
  <c r="AE204" i="1" s="1"/>
  <c r="AC186" i="1"/>
  <c r="AE186" i="1" s="1"/>
  <c r="AC202" i="1"/>
  <c r="AD202" i="1" s="1"/>
  <c r="AG324" i="1"/>
  <c r="AF324" i="1" s="1"/>
  <c r="AC203" i="1"/>
  <c r="AE203" i="1" s="1"/>
  <c r="AG115" i="1"/>
  <c r="AF115" i="1" s="1"/>
  <c r="AG290" i="1"/>
  <c r="AF290" i="1" s="1"/>
  <c r="AG110" i="1"/>
  <c r="AF110" i="1" s="1"/>
  <c r="AG126" i="1"/>
  <c r="AF126" i="1" s="1"/>
  <c r="AC205" i="1"/>
  <c r="AD205" i="1" s="1"/>
  <c r="AG293" i="1"/>
  <c r="AF293" i="1" s="1"/>
  <c r="AG315" i="1"/>
  <c r="AF315" i="1" s="1"/>
  <c r="AC172" i="1"/>
  <c r="AE172" i="1" s="1"/>
  <c r="AC264" i="1"/>
  <c r="AE264" i="1" s="1"/>
  <c r="AC193" i="1"/>
  <c r="AE193" i="1" s="1"/>
  <c r="AC227" i="1"/>
  <c r="AE227" i="1" s="1"/>
  <c r="AG235" i="1"/>
  <c r="AF235" i="1" s="1"/>
  <c r="AG259" i="1"/>
  <c r="AF259" i="1" s="1"/>
  <c r="AC80" i="1"/>
  <c r="AG80" i="1"/>
  <c r="AF80" i="1" s="1"/>
  <c r="AG278" i="1"/>
  <c r="AF278" i="1" s="1"/>
  <c r="AG216" i="1"/>
  <c r="AF216" i="1" s="1"/>
  <c r="AG242" i="1"/>
  <c r="AF242" i="1" s="1"/>
  <c r="AG150" i="1"/>
  <c r="AF150" i="1" s="1"/>
  <c r="AG159" i="1"/>
  <c r="AF159" i="1" s="1"/>
  <c r="AG173" i="1"/>
  <c r="AF173" i="1" s="1"/>
  <c r="AG207" i="1"/>
  <c r="AF207" i="1" s="1"/>
  <c r="AC291" i="1"/>
  <c r="AE291" i="1" s="1"/>
  <c r="AC144" i="1"/>
  <c r="AE144" i="1" s="1"/>
  <c r="AG122" i="1"/>
  <c r="AF122" i="1" s="1"/>
  <c r="AG165" i="1"/>
  <c r="AF165" i="1" s="1"/>
  <c r="AC169" i="1"/>
  <c r="AE169" i="1" s="1"/>
  <c r="AC179" i="1"/>
  <c r="AE179" i="1" s="1"/>
  <c r="AG197" i="1"/>
  <c r="AF197" i="1" s="1"/>
  <c r="AC270" i="1"/>
  <c r="AE270" i="1" s="1"/>
  <c r="AC275" i="1"/>
  <c r="AE275" i="1" s="1"/>
  <c r="AG283" i="1"/>
  <c r="AF283" i="1" s="1"/>
  <c r="AC325" i="1"/>
  <c r="AE325" i="1" s="1"/>
  <c r="AG125" i="1"/>
  <c r="AF125" i="1" s="1"/>
  <c r="AC126" i="1"/>
  <c r="AE126" i="1" s="1"/>
  <c r="AC137" i="1"/>
  <c r="AE137" i="1" s="1"/>
  <c r="AC248" i="1"/>
  <c r="AE248" i="1" s="1"/>
  <c r="AG320" i="1"/>
  <c r="AF320" i="1" s="1"/>
  <c r="AC162" i="1"/>
  <c r="AE162" i="1" s="1"/>
  <c r="AG203" i="1"/>
  <c r="AF203" i="1" s="1"/>
  <c r="AG219" i="1"/>
  <c r="AF219" i="1" s="1"/>
  <c r="AC180" i="1"/>
  <c r="AE180" i="1" s="1"/>
  <c r="AG187" i="1"/>
  <c r="AF187" i="1" s="1"/>
  <c r="AC103" i="1"/>
  <c r="AE103" i="1" s="1"/>
  <c r="AC104" i="1" s="1"/>
  <c r="AC121" i="1"/>
  <c r="AE121" i="1" s="1"/>
  <c r="AC135" i="1"/>
  <c r="AE135" i="1" s="1"/>
  <c r="AC136" i="1" s="1"/>
  <c r="AE136" i="1" s="1"/>
  <c r="AG185" i="1"/>
  <c r="AF185" i="1" s="1"/>
  <c r="AG200" i="1"/>
  <c r="AF200" i="1" s="1"/>
  <c r="AC240" i="1"/>
  <c r="AE240" i="1" s="1"/>
  <c r="AC249" i="1"/>
  <c r="AD249" i="1" s="1"/>
  <c r="AG258" i="1"/>
  <c r="AF258" i="1" s="1"/>
  <c r="AC281" i="1"/>
  <c r="AE281" i="1" s="1"/>
  <c r="AG312" i="1"/>
  <c r="AF312" i="1" s="1"/>
  <c r="AG103" i="1"/>
  <c r="AF103" i="1" s="1"/>
  <c r="AG236" i="1"/>
  <c r="AF236" i="1" s="1"/>
  <c r="AC237" i="1"/>
  <c r="AE237" i="1" s="1"/>
  <c r="AC238" i="1" s="1"/>
  <c r="AE238" i="1" s="1"/>
  <c r="AC267" i="1"/>
  <c r="AE267" i="1" s="1"/>
  <c r="AC268" i="1" s="1"/>
  <c r="AE268" i="1" s="1"/>
  <c r="AG271" i="1"/>
  <c r="AF271" i="1" s="1"/>
  <c r="AG284" i="1"/>
  <c r="AF284" i="1" s="1"/>
  <c r="AG302" i="1"/>
  <c r="AF302" i="1" s="1"/>
  <c r="AG93" i="1"/>
  <c r="AF93" i="1" s="1"/>
  <c r="AG198" i="1"/>
  <c r="AF198" i="1" s="1"/>
  <c r="AG212" i="1"/>
  <c r="AF212" i="1" s="1"/>
  <c r="AG213" i="1"/>
  <c r="AF213" i="1" s="1"/>
  <c r="AG217" i="1"/>
  <c r="AF217" i="1" s="1"/>
  <c r="AC66" i="1"/>
  <c r="AE66" i="1" s="1"/>
  <c r="AC67" i="1" s="1"/>
  <c r="AG133" i="1"/>
  <c r="AF133" i="1" s="1"/>
  <c r="AC185" i="1"/>
  <c r="AD185" i="1" s="1"/>
  <c r="AG194" i="1"/>
  <c r="AF194" i="1" s="1"/>
  <c r="AG206" i="1"/>
  <c r="AF206" i="1" s="1"/>
  <c r="AC219" i="1"/>
  <c r="AE219" i="1" s="1"/>
  <c r="AC220" i="1" s="1"/>
  <c r="AG227" i="1"/>
  <c r="AF227" i="1" s="1"/>
  <c r="AG247" i="1"/>
  <c r="AF247" i="1" s="1"/>
  <c r="AG257" i="1"/>
  <c r="AF257" i="1" s="1"/>
  <c r="AC258" i="1"/>
  <c r="AE258" i="1" s="1"/>
  <c r="AG288" i="1"/>
  <c r="AF288" i="1" s="1"/>
  <c r="R231" i="1"/>
  <c r="AG231" i="1" s="1"/>
  <c r="S231" i="1"/>
  <c r="R71" i="1"/>
  <c r="AG71" i="1" s="1"/>
  <c r="S71" i="1"/>
  <c r="R94" i="1"/>
  <c r="AG94" i="1" s="1"/>
  <c r="AF94" i="1" s="1"/>
  <c r="S94" i="1"/>
  <c r="R153" i="1"/>
  <c r="AG153" i="1" s="1"/>
  <c r="AF153" i="1" s="1"/>
  <c r="S153" i="1"/>
  <c r="R321" i="1"/>
  <c r="S321" i="1"/>
  <c r="R177" i="1"/>
  <c r="AG177" i="1" s="1"/>
  <c r="AF177" i="1" s="1"/>
  <c r="S177" i="1"/>
  <c r="R76" i="1"/>
  <c r="AG76" i="1" s="1"/>
  <c r="S76" i="1"/>
  <c r="R225" i="1"/>
  <c r="AG225" i="1" s="1"/>
  <c r="AF225" i="1" s="1"/>
  <c r="S225" i="1"/>
  <c r="R273" i="1"/>
  <c r="AG273" i="1" s="1"/>
  <c r="S273" i="1"/>
  <c r="S135" i="1"/>
  <c r="R135" i="1"/>
  <c r="AG135" i="1" s="1"/>
  <c r="AF135" i="1" s="1"/>
  <c r="R249" i="1"/>
  <c r="AG249" i="1" s="1"/>
  <c r="S249" i="1"/>
  <c r="R105" i="1"/>
  <c r="S105" i="1"/>
  <c r="R129" i="1"/>
  <c r="AG129" i="1" s="1"/>
  <c r="AF129" i="1" s="1"/>
  <c r="S129" i="1"/>
  <c r="R183" i="1"/>
  <c r="AG183" i="1" s="1"/>
  <c r="S183" i="1"/>
  <c r="S297" i="1"/>
  <c r="R297" i="1"/>
  <c r="AC117" i="1"/>
  <c r="AD117" i="1" s="1"/>
  <c r="AG128" i="1"/>
  <c r="AF128" i="1" s="1"/>
  <c r="AG161" i="1"/>
  <c r="AF161" i="1" s="1"/>
  <c r="AH161" i="1" s="1"/>
  <c r="AC164" i="1"/>
  <c r="AE164" i="1" s="1"/>
  <c r="AG179" i="1"/>
  <c r="AF179" i="1" s="1"/>
  <c r="AC189" i="1"/>
  <c r="AE189" i="1" s="1"/>
  <c r="AC190" i="1" s="1"/>
  <c r="AE190" i="1" s="1"/>
  <c r="AG230" i="1"/>
  <c r="AF230" i="1" s="1"/>
  <c r="AG252" i="1"/>
  <c r="AF252" i="1" s="1"/>
  <c r="AG267" i="1"/>
  <c r="AF267" i="1" s="1"/>
  <c r="AG295" i="1"/>
  <c r="AF295" i="1" s="1"/>
  <c r="AG300" i="1"/>
  <c r="AF300" i="1" s="1"/>
  <c r="AG305" i="1"/>
  <c r="AF305" i="1" s="1"/>
  <c r="S237" i="1"/>
  <c r="S201" i="1"/>
  <c r="AG114" i="1"/>
  <c r="AF114" i="1" s="1"/>
  <c r="AG117" i="1"/>
  <c r="AF117" i="1" s="1"/>
  <c r="AG163" i="1"/>
  <c r="AF163" i="1" s="1"/>
  <c r="AC199" i="1"/>
  <c r="AE199" i="1" s="1"/>
  <c r="AC261" i="1"/>
  <c r="AE261" i="1" s="1"/>
  <c r="AC262" i="1" s="1"/>
  <c r="S255" i="1"/>
  <c r="S159" i="1"/>
  <c r="S309" i="1"/>
  <c r="S117" i="1"/>
  <c r="AC92" i="1"/>
  <c r="AE92" i="1" s="1"/>
  <c r="AG170" i="1"/>
  <c r="AF170" i="1" s="1"/>
  <c r="AG191" i="1"/>
  <c r="AF191" i="1" s="1"/>
  <c r="AG261" i="1"/>
  <c r="AF261" i="1" s="1"/>
  <c r="S189" i="1"/>
  <c r="AG87" i="1"/>
  <c r="AF87" i="1" s="1"/>
  <c r="AG157" i="1"/>
  <c r="AF157" i="1" s="1"/>
  <c r="AG182" i="1"/>
  <c r="AF182" i="1" s="1"/>
  <c r="AG210" i="1"/>
  <c r="AF210" i="1" s="1"/>
  <c r="AG246" i="1"/>
  <c r="AF246" i="1" s="1"/>
  <c r="AC247" i="1"/>
  <c r="AE247" i="1" s="1"/>
  <c r="AC253" i="1"/>
  <c r="AE253" i="1" s="1"/>
  <c r="AG296" i="1"/>
  <c r="AF296" i="1" s="1"/>
  <c r="AG306" i="1"/>
  <c r="AF306" i="1" s="1"/>
  <c r="AC312" i="1"/>
  <c r="AE312" i="1" s="1"/>
  <c r="AG326" i="1"/>
  <c r="AF326" i="1" s="1"/>
  <c r="S279" i="1"/>
  <c r="S97" i="1"/>
  <c r="S261" i="1"/>
  <c r="S82" i="1"/>
  <c r="S165" i="1"/>
  <c r="AC139" i="1"/>
  <c r="AE139" i="1" s="1"/>
  <c r="AG152" i="1"/>
  <c r="AF152" i="1" s="1"/>
  <c r="AG168" i="1"/>
  <c r="AF168" i="1" s="1"/>
  <c r="AG175" i="1"/>
  <c r="AF175" i="1" s="1"/>
  <c r="AG204" i="1"/>
  <c r="AF204" i="1" s="1"/>
  <c r="AC234" i="1"/>
  <c r="AE234" i="1" s="1"/>
  <c r="AG241" i="1"/>
  <c r="AF241" i="1" s="1"/>
  <c r="AG265" i="1"/>
  <c r="AF265" i="1" s="1"/>
  <c r="AC273" i="1"/>
  <c r="AC276" i="1"/>
  <c r="AE276" i="1" s="1"/>
  <c r="S141" i="1"/>
  <c r="S303" i="1"/>
  <c r="S207" i="1"/>
  <c r="S111" i="1"/>
  <c r="S213" i="1"/>
  <c r="S285" i="1"/>
  <c r="N165" i="1"/>
  <c r="AC165" i="1" s="1"/>
  <c r="AD165" i="1" s="1"/>
  <c r="S101" i="1"/>
  <c r="S315" i="1"/>
  <c r="S291" i="1"/>
  <c r="S267" i="1"/>
  <c r="S243" i="1"/>
  <c r="S219" i="1"/>
  <c r="S195" i="1"/>
  <c r="S171" i="1"/>
  <c r="S147" i="1"/>
  <c r="S123" i="1"/>
  <c r="S103" i="1"/>
  <c r="S88" i="1"/>
  <c r="AC293" i="1"/>
  <c r="AC324" i="1"/>
  <c r="AG108" i="1"/>
  <c r="AF108" i="1" s="1"/>
  <c r="AG119" i="1"/>
  <c r="AF119" i="1" s="1"/>
  <c r="AG137" i="1"/>
  <c r="AF137" i="1" s="1"/>
  <c r="AG162" i="1"/>
  <c r="AF162" i="1" s="1"/>
  <c r="AG169" i="1"/>
  <c r="AF169" i="1" s="1"/>
  <c r="AD171" i="1"/>
  <c r="AG180" i="1"/>
  <c r="AF180" i="1" s="1"/>
  <c r="AG186" i="1"/>
  <c r="AF186" i="1" s="1"/>
  <c r="AD186" i="1"/>
  <c r="AG205" i="1"/>
  <c r="AF205" i="1" s="1"/>
  <c r="AC206" i="1"/>
  <c r="AE206" i="1" s="1"/>
  <c r="AG228" i="1"/>
  <c r="AF228" i="1" s="1"/>
  <c r="AC228" i="1"/>
  <c r="AE228" i="1" s="1"/>
  <c r="AC243" i="1"/>
  <c r="AG248" i="1"/>
  <c r="AF248" i="1" s="1"/>
  <c r="AC257" i="1"/>
  <c r="AG281" i="1"/>
  <c r="AF281" i="1" s="1"/>
  <c r="AG292" i="1"/>
  <c r="AF292" i="1" s="1"/>
  <c r="AC300" i="1"/>
  <c r="AE300" i="1" s="1"/>
  <c r="AC305" i="1"/>
  <c r="AC309" i="1"/>
  <c r="AG313" i="1"/>
  <c r="AF313" i="1" s="1"/>
  <c r="AC315" i="1"/>
  <c r="AE315" i="1" s="1"/>
  <c r="AC316" i="1" s="1"/>
  <c r="AG308" i="1"/>
  <c r="AF308" i="1" s="1"/>
  <c r="AG321" i="1"/>
  <c r="AF321" i="1" s="1"/>
  <c r="AG83" i="1"/>
  <c r="AF83" i="1" s="1"/>
  <c r="AG85" i="1"/>
  <c r="AF85" i="1" s="1"/>
  <c r="AG97" i="1"/>
  <c r="AF97" i="1" s="1"/>
  <c r="AG158" i="1"/>
  <c r="AF158" i="1" s="1"/>
  <c r="AC174" i="1"/>
  <c r="AE174" i="1" s="1"/>
  <c r="AG193" i="1"/>
  <c r="AF193" i="1" s="1"/>
  <c r="AC195" i="1"/>
  <c r="AG199" i="1"/>
  <c r="AF199" i="1" s="1"/>
  <c r="AG201" i="1"/>
  <c r="AF201" i="1" s="1"/>
  <c r="AC211" i="1"/>
  <c r="AE211" i="1" s="1"/>
  <c r="AG218" i="1"/>
  <c r="AF218" i="1" s="1"/>
  <c r="AG224" i="1"/>
  <c r="AF224" i="1" s="1"/>
  <c r="AG253" i="1"/>
  <c r="AF253" i="1" s="1"/>
  <c r="AG260" i="1"/>
  <c r="AF260" i="1" s="1"/>
  <c r="AG276" i="1"/>
  <c r="AF276" i="1" s="1"/>
  <c r="AC285" i="1"/>
  <c r="AC289" i="1"/>
  <c r="AE289" i="1" s="1"/>
  <c r="AC292" i="1"/>
  <c r="AC295" i="1"/>
  <c r="AE295" i="1" s="1"/>
  <c r="AG240" i="1"/>
  <c r="AF240" i="1" s="1"/>
  <c r="AG116" i="1"/>
  <c r="AF116" i="1" s="1"/>
  <c r="AG140" i="1"/>
  <c r="AF140" i="1" s="1"/>
  <c r="AG142" i="1"/>
  <c r="AF142" i="1" s="1"/>
  <c r="AG156" i="1"/>
  <c r="AF156" i="1" s="1"/>
  <c r="AE161" i="1"/>
  <c r="AG164" i="1"/>
  <c r="AF164" i="1" s="1"/>
  <c r="AG171" i="1"/>
  <c r="AF171" i="1" s="1"/>
  <c r="AG174" i="1"/>
  <c r="AF174" i="1" s="1"/>
  <c r="AG176" i="1"/>
  <c r="AF176" i="1" s="1"/>
  <c r="AG188" i="1"/>
  <c r="AF188" i="1" s="1"/>
  <c r="AG189" i="1"/>
  <c r="AF189" i="1" s="1"/>
  <c r="AG192" i="1"/>
  <c r="AF192" i="1" s="1"/>
  <c r="AC192" i="1"/>
  <c r="AD192" i="1" s="1"/>
  <c r="AC198" i="1"/>
  <c r="AE198" i="1" s="1"/>
  <c r="AG211" i="1"/>
  <c r="AF211" i="1" s="1"/>
  <c r="AC217" i="1"/>
  <c r="AE217" i="1" s="1"/>
  <c r="AD227" i="1"/>
  <c r="AC252" i="1"/>
  <c r="AC259" i="1"/>
  <c r="AG266" i="1"/>
  <c r="AF266" i="1" s="1"/>
  <c r="AG272" i="1"/>
  <c r="AF272" i="1" s="1"/>
  <c r="AG289" i="1"/>
  <c r="AF289" i="1" s="1"/>
  <c r="AG304" i="1"/>
  <c r="AF304" i="1" s="1"/>
  <c r="AC304" i="1"/>
  <c r="AG307" i="1"/>
  <c r="AF307" i="1" s="1"/>
  <c r="AG309" i="1"/>
  <c r="AF309" i="1" s="1"/>
  <c r="AC168" i="1"/>
  <c r="AD168" i="1" s="1"/>
  <c r="AG264" i="1"/>
  <c r="AF264" i="1" s="1"/>
  <c r="AC71" i="1"/>
  <c r="AG109" i="1"/>
  <c r="AF109" i="1" s="1"/>
  <c r="AG120" i="1"/>
  <c r="AF120" i="1" s="1"/>
  <c r="AC177" i="1"/>
  <c r="AG181" i="1"/>
  <c r="AF181" i="1" s="1"/>
  <c r="AC183" i="1"/>
  <c r="AC213" i="1"/>
  <c r="AC231" i="1"/>
  <c r="AG234" i="1"/>
  <c r="AF234" i="1" s="1"/>
  <c r="AG239" i="1"/>
  <c r="AF239" i="1" s="1"/>
  <c r="AC239" i="1"/>
  <c r="AG243" i="1"/>
  <c r="AF243" i="1" s="1"/>
  <c r="AG263" i="1"/>
  <c r="AF263" i="1" s="1"/>
  <c r="AC263" i="1"/>
  <c r="AG269" i="1"/>
  <c r="AF269" i="1" s="1"/>
  <c r="AC269" i="1"/>
  <c r="AG275" i="1"/>
  <c r="AF275" i="1" s="1"/>
  <c r="AC279" i="1"/>
  <c r="AE279" i="1" s="1"/>
  <c r="AC280" i="1" s="1"/>
  <c r="AC282" i="1"/>
  <c r="AE282" i="1" s="1"/>
  <c r="AC294" i="1"/>
  <c r="AC321" i="1"/>
  <c r="AC163" i="1"/>
  <c r="AD163" i="1" s="1"/>
  <c r="AC173" i="1"/>
  <c r="AD173" i="1" s="1"/>
  <c r="AC187" i="1"/>
  <c r="AE187" i="1" s="1"/>
  <c r="AC191" i="1"/>
  <c r="AG195" i="1"/>
  <c r="AF195" i="1" s="1"/>
  <c r="AC210" i="1"/>
  <c r="AE210" i="1" s="1"/>
  <c r="AG223" i="1"/>
  <c r="AF223" i="1" s="1"/>
  <c r="AG238" i="1"/>
  <c r="AF238" i="1" s="1"/>
  <c r="AG282" i="1"/>
  <c r="AF282" i="1" s="1"/>
  <c r="AG285" i="1"/>
  <c r="AF285" i="1" s="1"/>
  <c r="AC288" i="1"/>
  <c r="AE288" i="1" s="1"/>
  <c r="AG294" i="1"/>
  <c r="AF294" i="1" s="1"/>
  <c r="AC306" i="1"/>
  <c r="AE306" i="1" s="1"/>
  <c r="AG314" i="1"/>
  <c r="AF314" i="1" s="1"/>
  <c r="AG319" i="1"/>
  <c r="AF319" i="1" s="1"/>
  <c r="AG325" i="1"/>
  <c r="AF325" i="1" s="1"/>
  <c r="AG270" i="1"/>
  <c r="AF270" i="1" s="1"/>
  <c r="AG145" i="1"/>
  <c r="AF145" i="1" s="1"/>
  <c r="AC197" i="1"/>
  <c r="AG202" i="1"/>
  <c r="AF202" i="1" s="1"/>
  <c r="AC216" i="1"/>
  <c r="AG229" i="1"/>
  <c r="AF229" i="1" s="1"/>
  <c r="AC235" i="1"/>
  <c r="AE235" i="1" s="1"/>
  <c r="AC241" i="1"/>
  <c r="AE241" i="1" s="1"/>
  <c r="AC246" i="1"/>
  <c r="AD246" i="1" s="1"/>
  <c r="AG254" i="1"/>
  <c r="AF254" i="1" s="1"/>
  <c r="AG277" i="1"/>
  <c r="AF277" i="1" s="1"/>
  <c r="AG279" i="1"/>
  <c r="AF279" i="1" s="1"/>
  <c r="AG301" i="1"/>
  <c r="AF301" i="1" s="1"/>
  <c r="AC326" i="1"/>
  <c r="AD319" i="1"/>
  <c r="AC320" i="1"/>
  <c r="AD313" i="1"/>
  <c r="AC314" i="1"/>
  <c r="AG303" i="1"/>
  <c r="AF303" i="1" s="1"/>
  <c r="AC307" i="1"/>
  <c r="AC308" i="1"/>
  <c r="AG297" i="1"/>
  <c r="AF297" i="1" s="1"/>
  <c r="AC301" i="1"/>
  <c r="AC302" i="1"/>
  <c r="AC296" i="1"/>
  <c r="AC290" i="1"/>
  <c r="AC283" i="1"/>
  <c r="AC284" i="1"/>
  <c r="AC277" i="1"/>
  <c r="AC278" i="1"/>
  <c r="AD270" i="1"/>
  <c r="AC271" i="1"/>
  <c r="AC272" i="1"/>
  <c r="AC265" i="1"/>
  <c r="AC266" i="1"/>
  <c r="AG255" i="1"/>
  <c r="AF255" i="1" s="1"/>
  <c r="AC260" i="1"/>
  <c r="AC255" i="1"/>
  <c r="AC254" i="1"/>
  <c r="AD247" i="1"/>
  <c r="AC242" i="1"/>
  <c r="AC236" i="1"/>
  <c r="AC229" i="1"/>
  <c r="AC230" i="1"/>
  <c r="AC225" i="1"/>
  <c r="AC223" i="1"/>
  <c r="AC224" i="1"/>
  <c r="AC218" i="1"/>
  <c r="AC212" i="1"/>
  <c r="AC207" i="1"/>
  <c r="AD204" i="1"/>
  <c r="AH204" i="1" s="1"/>
  <c r="AC201" i="1"/>
  <c r="AD199" i="1"/>
  <c r="AC200" i="1"/>
  <c r="AC194" i="1"/>
  <c r="AC188" i="1"/>
  <c r="AD179" i="1"/>
  <c r="AC181" i="1"/>
  <c r="AC182" i="1"/>
  <c r="AC175" i="1"/>
  <c r="AC176" i="1"/>
  <c r="AD169" i="1"/>
  <c r="AC170" i="1"/>
  <c r="AG84" i="1"/>
  <c r="AF84" i="1" s="1"/>
  <c r="AG144" i="1"/>
  <c r="AF144" i="1" s="1"/>
  <c r="AC150" i="1"/>
  <c r="AC88" i="1"/>
  <c r="AC105" i="1"/>
  <c r="AC111" i="1"/>
  <c r="AG121" i="1"/>
  <c r="AF121" i="1" s="1"/>
  <c r="AC123" i="1"/>
  <c r="AG127" i="1"/>
  <c r="AF127" i="1" s="1"/>
  <c r="AG146" i="1"/>
  <c r="AF146" i="1" s="1"/>
  <c r="AC156" i="1"/>
  <c r="AE156" i="1" s="1"/>
  <c r="AC76" i="1"/>
  <c r="AC82" i="1"/>
  <c r="AG86" i="1"/>
  <c r="AF86" i="1" s="1"/>
  <c r="AG92" i="1"/>
  <c r="AF92" i="1" s="1"/>
  <c r="AC94" i="1"/>
  <c r="AC97" i="1"/>
  <c r="AE97" i="1" s="1"/>
  <c r="AC98" i="1" s="1"/>
  <c r="AE98" i="1" s="1"/>
  <c r="AC99" i="1" s="1"/>
  <c r="AC101" i="1"/>
  <c r="AG143" i="1"/>
  <c r="AF143" i="1" s="1"/>
  <c r="AC143" i="1"/>
  <c r="AG147" i="1"/>
  <c r="AF147" i="1" s="1"/>
  <c r="AC120" i="1"/>
  <c r="AD120" i="1" s="1"/>
  <c r="AC85" i="1"/>
  <c r="AE85" i="1" s="1"/>
  <c r="AC108" i="1"/>
  <c r="AE108" i="1" s="1"/>
  <c r="AC114" i="1"/>
  <c r="AE114" i="1" s="1"/>
  <c r="AG134" i="1"/>
  <c r="AF134" i="1" s="1"/>
  <c r="AG139" i="1"/>
  <c r="AF139" i="1" s="1"/>
  <c r="AC140" i="1"/>
  <c r="AE140" i="1" s="1"/>
  <c r="AC141" i="1"/>
  <c r="AG88" i="1"/>
  <c r="AF88" i="1" s="1"/>
  <c r="AG105" i="1"/>
  <c r="AF105" i="1" s="1"/>
  <c r="AG111" i="1"/>
  <c r="AF111" i="1" s="1"/>
  <c r="AC119" i="1"/>
  <c r="AG123" i="1"/>
  <c r="AF123" i="1" s="1"/>
  <c r="AC151" i="1"/>
  <c r="AE151" i="1" s="1"/>
  <c r="AG101" i="1"/>
  <c r="AF101" i="1" s="1"/>
  <c r="AG118" i="1"/>
  <c r="AF118" i="1" s="1"/>
  <c r="AC125" i="1"/>
  <c r="AC133" i="1"/>
  <c r="AE133" i="1" s="1"/>
  <c r="AG138" i="1"/>
  <c r="AF138" i="1" s="1"/>
  <c r="AC138" i="1"/>
  <c r="AE138" i="1" s="1"/>
  <c r="AG151" i="1"/>
  <c r="AF151" i="1" s="1"/>
  <c r="AC153" i="1"/>
  <c r="AC157" i="1"/>
  <c r="AC158" i="1"/>
  <c r="AC152" i="1"/>
  <c r="AC147" i="1"/>
  <c r="AC145" i="1"/>
  <c r="AC146" i="1"/>
  <c r="AC134" i="1"/>
  <c r="AC127" i="1"/>
  <c r="AC128" i="1"/>
  <c r="AC122" i="1"/>
  <c r="AC115" i="1"/>
  <c r="AC116" i="1"/>
  <c r="AC109" i="1"/>
  <c r="AC110" i="1"/>
  <c r="AC93" i="1"/>
  <c r="AC86" i="1"/>
  <c r="AC87" i="1"/>
  <c r="V22" i="1"/>
  <c r="V23" i="1"/>
  <c r="V24" i="1"/>
  <c r="V25" i="1"/>
  <c r="AG322" i="1" l="1"/>
  <c r="AF322" i="1" s="1"/>
  <c r="AG323" i="1"/>
  <c r="AF323" i="1" s="1"/>
  <c r="AE129" i="1"/>
  <c r="AC130" i="1" s="1"/>
  <c r="AG104" i="1"/>
  <c r="AF104" i="1" s="1"/>
  <c r="AE297" i="1"/>
  <c r="AC298" i="1" s="1"/>
  <c r="AG98" i="1"/>
  <c r="AF98" i="1" s="1"/>
  <c r="AH179" i="1"/>
  <c r="AD203" i="1"/>
  <c r="AH203" i="1" s="1"/>
  <c r="AD159" i="1"/>
  <c r="AH159" i="1" s="1"/>
  <c r="AH185" i="1"/>
  <c r="AG166" i="1"/>
  <c r="AF166" i="1" s="1"/>
  <c r="AD193" i="1"/>
  <c r="AH193" i="1" s="1"/>
  <c r="AD303" i="1"/>
  <c r="AH303" i="1" s="1"/>
  <c r="AE249" i="1"/>
  <c r="AC250" i="1" s="1"/>
  <c r="AE250" i="1" s="1"/>
  <c r="AC251" i="1" s="1"/>
  <c r="AE251" i="1" s="1"/>
  <c r="AG280" i="1"/>
  <c r="AF280" i="1" s="1"/>
  <c r="AG298" i="1"/>
  <c r="AF298" i="1" s="1"/>
  <c r="AD121" i="1"/>
  <c r="AH121" i="1" s="1"/>
  <c r="AG148" i="1"/>
  <c r="AF148" i="1" s="1"/>
  <c r="AH129" i="1"/>
  <c r="AG316" i="1"/>
  <c r="AF316" i="1" s="1"/>
  <c r="AE165" i="1"/>
  <c r="AC166" i="1" s="1"/>
  <c r="AE166" i="1" s="1"/>
  <c r="AC167" i="1" s="1"/>
  <c r="AG208" i="1"/>
  <c r="AF208" i="1" s="1"/>
  <c r="AF231" i="1"/>
  <c r="AG233" i="1"/>
  <c r="AF233" i="1" s="1"/>
  <c r="AF249" i="1"/>
  <c r="AH249" i="1" s="1"/>
  <c r="AG250" i="1"/>
  <c r="AF250" i="1" s="1"/>
  <c r="AF273" i="1"/>
  <c r="AG274" i="1"/>
  <c r="AF274" i="1" s="1"/>
  <c r="AF183" i="1"/>
  <c r="AG184" i="1"/>
  <c r="AF184" i="1" s="1"/>
  <c r="AG112" i="1"/>
  <c r="AF112" i="1" s="1"/>
  <c r="AG256" i="1"/>
  <c r="AF256" i="1" s="1"/>
  <c r="AH205" i="1"/>
  <c r="AG262" i="1"/>
  <c r="AF262" i="1" s="1"/>
  <c r="AG190" i="1"/>
  <c r="AF190" i="1" s="1"/>
  <c r="AG160" i="1"/>
  <c r="AF160" i="1" s="1"/>
  <c r="AH165" i="1"/>
  <c r="AE205" i="1"/>
  <c r="AG136" i="1"/>
  <c r="AF136" i="1" s="1"/>
  <c r="AE202" i="1"/>
  <c r="AG226" i="1"/>
  <c r="AF226" i="1" s="1"/>
  <c r="AG172" i="1"/>
  <c r="AF172" i="1" s="1"/>
  <c r="AG220" i="1"/>
  <c r="AE316" i="1"/>
  <c r="AC317" i="1" s="1"/>
  <c r="AE317" i="1" s="1"/>
  <c r="AC318" i="1" s="1"/>
  <c r="AD318" i="1" s="1"/>
  <c r="AD316" i="1"/>
  <c r="AE298" i="1"/>
  <c r="AC299" i="1" s="1"/>
  <c r="AE299" i="1" s="1"/>
  <c r="AD298" i="1"/>
  <c r="AG299" i="1"/>
  <c r="AF299" i="1" s="1"/>
  <c r="AG310" i="1"/>
  <c r="AG286" i="1"/>
  <c r="AF286" i="1" s="1"/>
  <c r="AD291" i="1"/>
  <c r="AH291" i="1" s="1"/>
  <c r="AG287" i="1"/>
  <c r="AF287" i="1" s="1"/>
  <c r="AD268" i="1"/>
  <c r="AG268" i="1"/>
  <c r="AF268" i="1" s="1"/>
  <c r="AD276" i="1"/>
  <c r="AH276" i="1" s="1"/>
  <c r="AD253" i="1"/>
  <c r="AH253" i="1" s="1"/>
  <c r="AG244" i="1"/>
  <c r="AH246" i="1"/>
  <c r="AD220" i="1"/>
  <c r="AE220" i="1"/>
  <c r="AC221" i="1" s="1"/>
  <c r="AE221" i="1" s="1"/>
  <c r="AC222" i="1" s="1"/>
  <c r="AG232" i="1"/>
  <c r="AF232" i="1" s="1"/>
  <c r="AG215" i="1"/>
  <c r="AF215" i="1" s="1"/>
  <c r="AG214" i="1"/>
  <c r="AF214" i="1" s="1"/>
  <c r="AD219" i="1"/>
  <c r="AH219" i="1" s="1"/>
  <c r="AD228" i="1"/>
  <c r="AH228" i="1" s="1"/>
  <c r="AG178" i="1"/>
  <c r="AF178" i="1" s="1"/>
  <c r="AG196" i="1"/>
  <c r="AF196" i="1" s="1"/>
  <c r="AG154" i="1"/>
  <c r="AD162" i="1"/>
  <c r="AH162" i="1" s="1"/>
  <c r="AG130" i="1"/>
  <c r="AG124" i="1"/>
  <c r="AF124" i="1" s="1"/>
  <c r="AD126" i="1"/>
  <c r="AH126" i="1" s="1"/>
  <c r="AE117" i="1"/>
  <c r="AC118" i="1" s="1"/>
  <c r="AH117" i="1"/>
  <c r="AG106" i="1"/>
  <c r="AD104" i="1"/>
  <c r="AH104" i="1" s="1"/>
  <c r="AE104" i="1"/>
  <c r="AD103" i="1"/>
  <c r="AH103" i="1" s="1"/>
  <c r="AG102" i="1"/>
  <c r="AF102" i="1" s="1"/>
  <c r="AG100" i="1"/>
  <c r="AF100" i="1" s="1"/>
  <c r="AG99" i="1"/>
  <c r="AF99" i="1" s="1"/>
  <c r="AH247" i="1"/>
  <c r="AD281" i="1"/>
  <c r="AH281" i="1" s="1"/>
  <c r="AD237" i="1"/>
  <c r="AH237" i="1" s="1"/>
  <c r="AD306" i="1"/>
  <c r="AH306" i="1" s="1"/>
  <c r="AD198" i="1"/>
  <c r="AH198" i="1" s="1"/>
  <c r="AD160" i="1"/>
  <c r="AD248" i="1"/>
  <c r="AH248" i="1" s="1"/>
  <c r="AD267" i="1"/>
  <c r="AH267" i="1" s="1"/>
  <c r="AD136" i="1"/>
  <c r="AD180" i="1"/>
  <c r="AH180" i="1" s="1"/>
  <c r="AD164" i="1"/>
  <c r="AH164" i="1" s="1"/>
  <c r="AD238" i="1"/>
  <c r="AH238" i="1" s="1"/>
  <c r="AD144" i="1"/>
  <c r="AH144" i="1" s="1"/>
  <c r="AD66" i="1"/>
  <c r="AD261" i="1"/>
  <c r="AH261" i="1" s="1"/>
  <c r="AE192" i="1"/>
  <c r="AH227" i="1"/>
  <c r="AD275" i="1"/>
  <c r="AH275" i="1" s="1"/>
  <c r="AD289" i="1"/>
  <c r="AH289" i="1" s="1"/>
  <c r="AD172" i="1"/>
  <c r="AG95" i="1"/>
  <c r="AF76" i="1"/>
  <c r="AG77" i="1"/>
  <c r="AD240" i="1"/>
  <c r="AH240" i="1" s="1"/>
  <c r="AD264" i="1"/>
  <c r="AH264" i="1" s="1"/>
  <c r="AE120" i="1"/>
  <c r="AE185" i="1"/>
  <c r="AD312" i="1"/>
  <c r="AH312" i="1" s="1"/>
  <c r="AD325" i="1"/>
  <c r="AH325" i="1" s="1"/>
  <c r="AE163" i="1"/>
  <c r="AD258" i="1"/>
  <c r="AH258" i="1" s="1"/>
  <c r="AH163" i="1"/>
  <c r="AG89" i="1"/>
  <c r="AD92" i="1"/>
  <c r="AH92" i="1" s="1"/>
  <c r="AH186" i="1"/>
  <c r="AD80" i="1"/>
  <c r="AH80" i="1" s="1"/>
  <c r="AE80" i="1"/>
  <c r="AD211" i="1"/>
  <c r="AH211" i="1" s="1"/>
  <c r="AD139" i="1"/>
  <c r="AH139" i="1" s="1"/>
  <c r="AF71" i="1"/>
  <c r="AG72" i="1"/>
  <c r="AH173" i="1"/>
  <c r="AD98" i="1"/>
  <c r="AH98" i="1" s="1"/>
  <c r="AD140" i="1"/>
  <c r="AH140" i="1" s="1"/>
  <c r="AH192" i="1"/>
  <c r="AD137" i="1"/>
  <c r="AH137" i="1" s="1"/>
  <c r="AD156" i="1"/>
  <c r="AH156" i="1" s="1"/>
  <c r="AD135" i="1"/>
  <c r="AH135" i="1" s="1"/>
  <c r="AD190" i="1"/>
  <c r="AH168" i="1"/>
  <c r="AH199" i="1"/>
  <c r="AH270" i="1"/>
  <c r="AD282" i="1"/>
  <c r="AH282" i="1" s="1"/>
  <c r="AE173" i="1"/>
  <c r="AD315" i="1"/>
  <c r="AH315" i="1" s="1"/>
  <c r="AD210" i="1"/>
  <c r="AH210" i="1" s="1"/>
  <c r="AE262" i="1"/>
  <c r="AD262" i="1"/>
  <c r="AH169" i="1"/>
  <c r="AD189" i="1"/>
  <c r="AH189" i="1" s="1"/>
  <c r="AD235" i="1"/>
  <c r="AH235" i="1" s="1"/>
  <c r="AE273" i="1"/>
  <c r="AC274" i="1" s="1"/>
  <c r="AD274" i="1" s="1"/>
  <c r="AD273" i="1"/>
  <c r="AD234" i="1"/>
  <c r="AH234" i="1" s="1"/>
  <c r="AD174" i="1"/>
  <c r="AH174" i="1" s="1"/>
  <c r="AD288" i="1"/>
  <c r="AH288" i="1" s="1"/>
  <c r="AD206" i="1"/>
  <c r="AH206" i="1" s="1"/>
  <c r="AH120" i="1"/>
  <c r="AD133" i="1"/>
  <c r="AH133" i="1" s="1"/>
  <c r="AD241" i="1"/>
  <c r="AH241" i="1" s="1"/>
  <c r="AE168" i="1"/>
  <c r="AD138" i="1"/>
  <c r="AH138" i="1" s="1"/>
  <c r="AD300" i="1"/>
  <c r="AH300" i="1" s="1"/>
  <c r="AD151" i="1"/>
  <c r="AH151" i="1" s="1"/>
  <c r="AD279" i="1"/>
  <c r="AH279" i="1" s="1"/>
  <c r="AD295" i="1"/>
  <c r="AH295" i="1" s="1"/>
  <c r="AH313" i="1"/>
  <c r="AH202" i="1"/>
  <c r="AD217" i="1"/>
  <c r="AH217" i="1" s="1"/>
  <c r="AD191" i="1"/>
  <c r="AH191" i="1" s="1"/>
  <c r="AE191" i="1"/>
  <c r="AE321" i="1"/>
  <c r="AC322" i="1" s="1"/>
  <c r="AE322" i="1" s="1"/>
  <c r="AC323" i="1" s="1"/>
  <c r="AD321" i="1"/>
  <c r="AH321" i="1" s="1"/>
  <c r="AE263" i="1"/>
  <c r="AD263" i="1"/>
  <c r="AH263" i="1" s="1"/>
  <c r="AE213" i="1"/>
  <c r="AC214" i="1" s="1"/>
  <c r="AE214" i="1" s="1"/>
  <c r="AC215" i="1" s="1"/>
  <c r="AE215" i="1" s="1"/>
  <c r="AD213" i="1"/>
  <c r="AH213" i="1" s="1"/>
  <c r="AE309" i="1"/>
  <c r="AC310" i="1" s="1"/>
  <c r="AE310" i="1" s="1"/>
  <c r="AC311" i="1" s="1"/>
  <c r="AD311" i="1" s="1"/>
  <c r="AD309" i="1"/>
  <c r="AH309" i="1" s="1"/>
  <c r="AE243" i="1"/>
  <c r="AC244" i="1" s="1"/>
  <c r="AD244" i="1" s="1"/>
  <c r="AD243" i="1"/>
  <c r="AH243" i="1" s="1"/>
  <c r="AE324" i="1"/>
  <c r="AD324" i="1"/>
  <c r="AH324" i="1" s="1"/>
  <c r="AE197" i="1"/>
  <c r="AD197" i="1"/>
  <c r="AH197" i="1" s="1"/>
  <c r="AE183" i="1"/>
  <c r="AC184" i="1" s="1"/>
  <c r="AE184" i="1" s="1"/>
  <c r="AD183" i="1"/>
  <c r="AE246" i="1"/>
  <c r="AE294" i="1"/>
  <c r="AD294" i="1"/>
  <c r="AH294" i="1" s="1"/>
  <c r="AE257" i="1"/>
  <c r="AD257" i="1"/>
  <c r="AH257" i="1" s="1"/>
  <c r="AD293" i="1"/>
  <c r="AH293" i="1" s="1"/>
  <c r="AE293" i="1"/>
  <c r="AD292" i="1"/>
  <c r="AH292" i="1" s="1"/>
  <c r="AE292" i="1"/>
  <c r="AE305" i="1"/>
  <c r="AD305" i="1"/>
  <c r="AH305" i="1" s="1"/>
  <c r="AD85" i="1"/>
  <c r="AH85" i="1" s="1"/>
  <c r="AD114" i="1"/>
  <c r="AH114" i="1" s="1"/>
  <c r="AD177" i="1"/>
  <c r="AH177" i="1" s="1"/>
  <c r="AE177" i="1"/>
  <c r="AC178" i="1" s="1"/>
  <c r="AD178" i="1" s="1"/>
  <c r="AE71" i="1"/>
  <c r="AC72" i="1" s="1"/>
  <c r="AE72" i="1" s="1"/>
  <c r="AC73" i="1" s="1"/>
  <c r="AD71" i="1"/>
  <c r="AD304" i="1"/>
  <c r="AH304" i="1" s="1"/>
  <c r="AE304" i="1"/>
  <c r="AD239" i="1"/>
  <c r="AH239" i="1" s="1"/>
  <c r="AE239" i="1"/>
  <c r="AD259" i="1"/>
  <c r="AH259" i="1" s="1"/>
  <c r="AE259" i="1"/>
  <c r="AD285" i="1"/>
  <c r="AH285" i="1" s="1"/>
  <c r="AE285" i="1"/>
  <c r="AC286" i="1" s="1"/>
  <c r="AD286" i="1" s="1"/>
  <c r="AD280" i="1"/>
  <c r="AH280" i="1" s="1"/>
  <c r="AE280" i="1"/>
  <c r="AE252" i="1"/>
  <c r="AD252" i="1"/>
  <c r="AH252" i="1" s="1"/>
  <c r="AH319" i="1"/>
  <c r="AE269" i="1"/>
  <c r="AD269" i="1"/>
  <c r="AH269" i="1" s="1"/>
  <c r="AD187" i="1"/>
  <c r="AH187" i="1" s="1"/>
  <c r="AE216" i="1"/>
  <c r="AD216" i="1"/>
  <c r="AH216" i="1" s="1"/>
  <c r="AE231" i="1"/>
  <c r="AC232" i="1" s="1"/>
  <c r="AD232" i="1" s="1"/>
  <c r="AD231" i="1"/>
  <c r="AD322" i="1"/>
  <c r="AH322" i="1" s="1"/>
  <c r="AD195" i="1"/>
  <c r="AH195" i="1" s="1"/>
  <c r="AE195" i="1"/>
  <c r="AC196" i="1" s="1"/>
  <c r="AD196" i="1" s="1"/>
  <c r="AH171" i="1"/>
  <c r="AD67" i="1"/>
  <c r="AE67" i="1"/>
  <c r="AC68" i="1" s="1"/>
  <c r="AE326" i="1"/>
  <c r="AD326" i="1"/>
  <c r="AH326" i="1" s="1"/>
  <c r="AE320" i="1"/>
  <c r="AD320" i="1"/>
  <c r="AH320" i="1" s="1"/>
  <c r="AE314" i="1"/>
  <c r="AD314" i="1"/>
  <c r="AH314" i="1" s="1"/>
  <c r="AE308" i="1"/>
  <c r="AD308" i="1"/>
  <c r="AH308" i="1" s="1"/>
  <c r="AE307" i="1"/>
  <c r="AD307" i="1"/>
  <c r="AH307" i="1" s="1"/>
  <c r="AE301" i="1"/>
  <c r="AD301" i="1"/>
  <c r="AH301" i="1" s="1"/>
  <c r="AE302" i="1"/>
  <c r="AD302" i="1"/>
  <c r="AH302" i="1" s="1"/>
  <c r="AH297" i="1"/>
  <c r="AE296" i="1"/>
  <c r="AD296" i="1"/>
  <c r="AH296" i="1" s="1"/>
  <c r="AE290" i="1"/>
  <c r="AD290" i="1"/>
  <c r="AH290" i="1" s="1"/>
  <c r="AE284" i="1"/>
  <c r="AD284" i="1"/>
  <c r="AH284" i="1" s="1"/>
  <c r="AE283" i="1"/>
  <c r="AD283" i="1"/>
  <c r="AH283" i="1" s="1"/>
  <c r="AE278" i="1"/>
  <c r="AD278" i="1"/>
  <c r="AH278" i="1" s="1"/>
  <c r="AE277" i="1"/>
  <c r="AD277" i="1"/>
  <c r="AH277" i="1" s="1"/>
  <c r="AE272" i="1"/>
  <c r="AD272" i="1"/>
  <c r="AH272" i="1" s="1"/>
  <c r="AE271" i="1"/>
  <c r="AD271" i="1"/>
  <c r="AH271" i="1" s="1"/>
  <c r="AE266" i="1"/>
  <c r="AD266" i="1"/>
  <c r="AH266" i="1" s="1"/>
  <c r="AE265" i="1"/>
  <c r="AD265" i="1"/>
  <c r="AH265" i="1" s="1"/>
  <c r="AE260" i="1"/>
  <c r="AD260" i="1"/>
  <c r="AH260" i="1" s="1"/>
  <c r="AE255" i="1"/>
  <c r="AC256" i="1" s="1"/>
  <c r="AD256" i="1" s="1"/>
  <c r="AD255" i="1"/>
  <c r="AH255" i="1" s="1"/>
  <c r="AE254" i="1"/>
  <c r="AD254" i="1"/>
  <c r="AH254" i="1" s="1"/>
  <c r="AE242" i="1"/>
  <c r="AD242" i="1"/>
  <c r="AH242" i="1" s="1"/>
  <c r="AE236" i="1"/>
  <c r="AD236" i="1"/>
  <c r="AH236" i="1" s="1"/>
  <c r="AE230" i="1"/>
  <c r="AD230" i="1"/>
  <c r="AH230" i="1" s="1"/>
  <c r="AE229" i="1"/>
  <c r="AD229" i="1"/>
  <c r="AH229" i="1" s="1"/>
  <c r="AE225" i="1"/>
  <c r="AC226" i="1" s="1"/>
  <c r="AD226" i="1" s="1"/>
  <c r="AD225" i="1"/>
  <c r="AH225" i="1" s="1"/>
  <c r="AE224" i="1"/>
  <c r="AD224" i="1"/>
  <c r="AH224" i="1" s="1"/>
  <c r="AE223" i="1"/>
  <c r="AD223" i="1"/>
  <c r="AH223" i="1" s="1"/>
  <c r="AE218" i="1"/>
  <c r="AD218" i="1"/>
  <c r="AH218" i="1" s="1"/>
  <c r="AE207" i="1"/>
  <c r="AC208" i="1" s="1"/>
  <c r="AD207" i="1"/>
  <c r="AH207" i="1" s="1"/>
  <c r="AE212" i="1"/>
  <c r="AD212" i="1"/>
  <c r="AH212" i="1" s="1"/>
  <c r="AE201" i="1"/>
  <c r="AD201" i="1"/>
  <c r="AH201" i="1" s="1"/>
  <c r="AE200" i="1"/>
  <c r="AD200" i="1"/>
  <c r="AH200" i="1" s="1"/>
  <c r="AE194" i="1"/>
  <c r="AD194" i="1"/>
  <c r="AH194" i="1" s="1"/>
  <c r="AE188" i="1"/>
  <c r="AD188" i="1"/>
  <c r="AH188" i="1" s="1"/>
  <c r="AE182" i="1"/>
  <c r="AD182" i="1"/>
  <c r="AH182" i="1" s="1"/>
  <c r="AD181" i="1"/>
  <c r="AH181" i="1" s="1"/>
  <c r="AE181" i="1"/>
  <c r="AE176" i="1"/>
  <c r="AD176" i="1"/>
  <c r="AH176" i="1" s="1"/>
  <c r="AE175" i="1"/>
  <c r="AD175" i="1"/>
  <c r="AH175" i="1" s="1"/>
  <c r="AE170" i="1"/>
  <c r="AD170" i="1"/>
  <c r="AH170" i="1" s="1"/>
  <c r="AE141" i="1"/>
  <c r="AC142" i="1" s="1"/>
  <c r="AE142" i="1" s="1"/>
  <c r="AD141" i="1"/>
  <c r="AH141" i="1" s="1"/>
  <c r="AD108" i="1"/>
  <c r="AH108" i="1" s="1"/>
  <c r="AE101" i="1"/>
  <c r="AC102" i="1" s="1"/>
  <c r="AD102" i="1" s="1"/>
  <c r="AD101" i="1"/>
  <c r="AH101" i="1" s="1"/>
  <c r="AE82" i="1"/>
  <c r="AC83" i="1" s="1"/>
  <c r="AE83" i="1" s="1"/>
  <c r="AC84" i="1" s="1"/>
  <c r="AD82" i="1"/>
  <c r="AH82" i="1" s="1"/>
  <c r="AE105" i="1"/>
  <c r="AC106" i="1" s="1"/>
  <c r="AD106" i="1" s="1"/>
  <c r="AD105" i="1"/>
  <c r="AH105" i="1" s="1"/>
  <c r="AE143" i="1"/>
  <c r="AD143" i="1"/>
  <c r="AH143" i="1" s="1"/>
  <c r="AE76" i="1"/>
  <c r="AC77" i="1" s="1"/>
  <c r="AD77" i="1" s="1"/>
  <c r="AD76" i="1"/>
  <c r="AE123" i="1"/>
  <c r="AC124" i="1" s="1"/>
  <c r="AE124" i="1" s="1"/>
  <c r="AD123" i="1"/>
  <c r="AH123" i="1" s="1"/>
  <c r="AD153" i="1"/>
  <c r="AH153" i="1" s="1"/>
  <c r="AE153" i="1"/>
  <c r="AC154" i="1" s="1"/>
  <c r="AD154" i="1" s="1"/>
  <c r="AE119" i="1"/>
  <c r="AD119" i="1"/>
  <c r="AH119" i="1" s="1"/>
  <c r="AD99" i="1"/>
  <c r="AE99" i="1"/>
  <c r="AC100" i="1" s="1"/>
  <c r="AE100" i="1" s="1"/>
  <c r="AE94" i="1"/>
  <c r="AC95" i="1" s="1"/>
  <c r="AE95" i="1" s="1"/>
  <c r="AC96" i="1" s="1"/>
  <c r="AD94" i="1"/>
  <c r="AH94" i="1" s="1"/>
  <c r="AE88" i="1"/>
  <c r="AC89" i="1" s="1"/>
  <c r="AE89" i="1" s="1"/>
  <c r="AC90" i="1" s="1"/>
  <c r="AD88" i="1"/>
  <c r="AH88" i="1" s="1"/>
  <c r="AE150" i="1"/>
  <c r="AD150" i="1"/>
  <c r="AH150" i="1" s="1"/>
  <c r="AE111" i="1"/>
  <c r="AC112" i="1" s="1"/>
  <c r="AE112" i="1" s="1"/>
  <c r="AC113" i="1" s="1"/>
  <c r="AD111" i="1"/>
  <c r="AH111" i="1" s="1"/>
  <c r="AD97" i="1"/>
  <c r="AH97" i="1" s="1"/>
  <c r="AE125" i="1"/>
  <c r="AD125" i="1"/>
  <c r="AH125" i="1" s="1"/>
  <c r="AE130" i="1"/>
  <c r="AC131" i="1" s="1"/>
  <c r="AE131" i="1" s="1"/>
  <c r="AC132" i="1" s="1"/>
  <c r="AD130" i="1"/>
  <c r="AE158" i="1"/>
  <c r="AD158" i="1"/>
  <c r="AH158" i="1" s="1"/>
  <c r="AE157" i="1"/>
  <c r="AD157" i="1"/>
  <c r="AH157" i="1" s="1"/>
  <c r="AE147" i="1"/>
  <c r="AC148" i="1" s="1"/>
  <c r="AD148" i="1" s="1"/>
  <c r="AD147" i="1"/>
  <c r="AH147" i="1" s="1"/>
  <c r="AE152" i="1"/>
  <c r="AD152" i="1"/>
  <c r="AH152" i="1" s="1"/>
  <c r="AE146" i="1"/>
  <c r="AD146" i="1"/>
  <c r="AH146" i="1" s="1"/>
  <c r="AE145" i="1"/>
  <c r="AD145" i="1"/>
  <c r="AH145" i="1" s="1"/>
  <c r="AE134" i="1"/>
  <c r="AD134" i="1"/>
  <c r="AH134" i="1" s="1"/>
  <c r="AE128" i="1"/>
  <c r="AD128" i="1"/>
  <c r="AH128" i="1" s="1"/>
  <c r="AE127" i="1"/>
  <c r="AD127" i="1"/>
  <c r="AH127" i="1" s="1"/>
  <c r="AE122" i="1"/>
  <c r="AD122" i="1"/>
  <c r="AH122" i="1" s="1"/>
  <c r="AE116" i="1"/>
  <c r="AD116" i="1"/>
  <c r="AH116" i="1" s="1"/>
  <c r="AE115" i="1"/>
  <c r="AD115" i="1"/>
  <c r="AH115" i="1" s="1"/>
  <c r="AE110" i="1"/>
  <c r="AD110" i="1"/>
  <c r="AH110" i="1" s="1"/>
  <c r="AE109" i="1"/>
  <c r="AD109" i="1"/>
  <c r="AH109" i="1" s="1"/>
  <c r="AE93" i="1"/>
  <c r="AD93" i="1"/>
  <c r="AH93" i="1" s="1"/>
  <c r="AE87" i="1"/>
  <c r="AD87" i="1"/>
  <c r="AH87" i="1" s="1"/>
  <c r="AE86" i="1"/>
  <c r="AD86" i="1"/>
  <c r="AH86" i="1" s="1"/>
  <c r="L18" i="1"/>
  <c r="AE323" i="1" l="1"/>
  <c r="AD323" i="1"/>
  <c r="AH323" i="1" s="1"/>
  <c r="AH148" i="1"/>
  <c r="AH256" i="1"/>
  <c r="AH231" i="1"/>
  <c r="AH136" i="1"/>
  <c r="AG113" i="1"/>
  <c r="AF113" i="1" s="1"/>
  <c r="AH226" i="1"/>
  <c r="AE244" i="1"/>
  <c r="AC245" i="1" s="1"/>
  <c r="AE245" i="1" s="1"/>
  <c r="AD317" i="1"/>
  <c r="AH160" i="1"/>
  <c r="AG317" i="1"/>
  <c r="AH196" i="1"/>
  <c r="AH274" i="1"/>
  <c r="AH316" i="1"/>
  <c r="AH76" i="1"/>
  <c r="AH178" i="1"/>
  <c r="AE311" i="1"/>
  <c r="AH273" i="1"/>
  <c r="AH102" i="1"/>
  <c r="AH190" i="1"/>
  <c r="AH286" i="1"/>
  <c r="AG167" i="1"/>
  <c r="AF167" i="1" s="1"/>
  <c r="AH232" i="1"/>
  <c r="AD250" i="1"/>
  <c r="AD83" i="1"/>
  <c r="AH83" i="1" s="1"/>
  <c r="AD124" i="1"/>
  <c r="AH124" i="1" s="1"/>
  <c r="AG149" i="1"/>
  <c r="AF149" i="1" s="1"/>
  <c r="AE178" i="1"/>
  <c r="AH262" i="1"/>
  <c r="AG251" i="1"/>
  <c r="AF251" i="1" s="1"/>
  <c r="AH298" i="1"/>
  <c r="AH250" i="1"/>
  <c r="AH172" i="1"/>
  <c r="AD221" i="1"/>
  <c r="AH268" i="1"/>
  <c r="AG209" i="1"/>
  <c r="AF209" i="1" s="1"/>
  <c r="AD167" i="1"/>
  <c r="AE167" i="1"/>
  <c r="AD214" i="1"/>
  <c r="AH214" i="1" s="1"/>
  <c r="AD166" i="1"/>
  <c r="AH166" i="1" s="1"/>
  <c r="AH183" i="1"/>
  <c r="AD251" i="1"/>
  <c r="AF220" i="1"/>
  <c r="AH220" i="1" s="1"/>
  <c r="AG221" i="1"/>
  <c r="AD299" i="1"/>
  <c r="AH299" i="1" s="1"/>
  <c r="AD100" i="1"/>
  <c r="AH100" i="1" s="1"/>
  <c r="AD310" i="1"/>
  <c r="AF317" i="1"/>
  <c r="AG318" i="1"/>
  <c r="AF318" i="1" s="1"/>
  <c r="AH318" i="1" s="1"/>
  <c r="AF310" i="1"/>
  <c r="AG311" i="1"/>
  <c r="AF311" i="1" s="1"/>
  <c r="AH311" i="1" s="1"/>
  <c r="AE318" i="1"/>
  <c r="AE286" i="1"/>
  <c r="AC287" i="1" s="1"/>
  <c r="AE256" i="1"/>
  <c r="AE274" i="1"/>
  <c r="AD245" i="1"/>
  <c r="AF244" i="1"/>
  <c r="AH244" i="1" s="1"/>
  <c r="AG245" i="1"/>
  <c r="AF245" i="1" s="1"/>
  <c r="AE226" i="1"/>
  <c r="AE232" i="1"/>
  <c r="AC233" i="1" s="1"/>
  <c r="AD215" i="1"/>
  <c r="AH215" i="1" s="1"/>
  <c r="AE222" i="1"/>
  <c r="AD222" i="1"/>
  <c r="AD208" i="1"/>
  <c r="AH208" i="1" s="1"/>
  <c r="AE208" i="1"/>
  <c r="AC209" i="1" s="1"/>
  <c r="AE196" i="1"/>
  <c r="AD184" i="1"/>
  <c r="AH184" i="1" s="1"/>
  <c r="AE154" i="1"/>
  <c r="AC155" i="1" s="1"/>
  <c r="AF154" i="1"/>
  <c r="AH154" i="1" s="1"/>
  <c r="AG155" i="1"/>
  <c r="AF155" i="1" s="1"/>
  <c r="AD142" i="1"/>
  <c r="AH142" i="1" s="1"/>
  <c r="AE148" i="1"/>
  <c r="AC149" i="1" s="1"/>
  <c r="AE132" i="1"/>
  <c r="AD132" i="1"/>
  <c r="AD131" i="1"/>
  <c r="AF130" i="1"/>
  <c r="AH130" i="1" s="1"/>
  <c r="AG131" i="1"/>
  <c r="AF131" i="1" s="1"/>
  <c r="AG132" i="1"/>
  <c r="AF132" i="1" s="1"/>
  <c r="AE118" i="1"/>
  <c r="AD118" i="1"/>
  <c r="AH118" i="1" s="1"/>
  <c r="AE113" i="1"/>
  <c r="AD113" i="1"/>
  <c r="AH113" i="1" s="1"/>
  <c r="AD112" i="1"/>
  <c r="AH112" i="1" s="1"/>
  <c r="AE106" i="1"/>
  <c r="AC107" i="1" s="1"/>
  <c r="AF106" i="1"/>
  <c r="AH106" i="1" s="1"/>
  <c r="AG107" i="1"/>
  <c r="AF107" i="1" s="1"/>
  <c r="AE102" i="1"/>
  <c r="AH99" i="1"/>
  <c r="AH71" i="1"/>
  <c r="AE96" i="1"/>
  <c r="AD96" i="1"/>
  <c r="AD95" i="1"/>
  <c r="AF95" i="1"/>
  <c r="AG96" i="1"/>
  <c r="AF96" i="1" s="1"/>
  <c r="AF77" i="1"/>
  <c r="AH77" i="1" s="1"/>
  <c r="AG78" i="1"/>
  <c r="AD90" i="1"/>
  <c r="AE90" i="1"/>
  <c r="AC91" i="1" s="1"/>
  <c r="AD89" i="1"/>
  <c r="AF89" i="1"/>
  <c r="AG91" i="1"/>
  <c r="AF91" i="1" s="1"/>
  <c r="AG90" i="1"/>
  <c r="AF90" i="1" s="1"/>
  <c r="AD84" i="1"/>
  <c r="AH84" i="1" s="1"/>
  <c r="AE84" i="1"/>
  <c r="AE77" i="1"/>
  <c r="AC78" i="1" s="1"/>
  <c r="AF72" i="1"/>
  <c r="AG73" i="1"/>
  <c r="AE73" i="1"/>
  <c r="AC74" i="1" s="1"/>
  <c r="AD73" i="1"/>
  <c r="AD72" i="1"/>
  <c r="AE68" i="1"/>
  <c r="AC69" i="1" s="1"/>
  <c r="AD68" i="1"/>
  <c r="L12" i="1"/>
  <c r="V12" i="1"/>
  <c r="R23" i="22"/>
  <c r="Q23" i="22"/>
  <c r="P23" i="22"/>
  <c r="O23" i="22"/>
  <c r="N23" i="22"/>
  <c r="M23" i="22"/>
  <c r="L23" i="22"/>
  <c r="K23" i="22"/>
  <c r="J23" i="22"/>
  <c r="I23" i="22"/>
  <c r="H23" i="22"/>
  <c r="G23" i="22"/>
  <c r="F23" i="22"/>
  <c r="E23" i="22"/>
  <c r="D23" i="22"/>
  <c r="C23" i="22"/>
  <c r="C14" i="16"/>
  <c r="C13" i="16"/>
  <c r="C4" i="16"/>
  <c r="C5" i="16"/>
  <c r="C6" i="16"/>
  <c r="C7" i="16"/>
  <c r="C8" i="16"/>
  <c r="C9" i="16"/>
  <c r="C10" i="16"/>
  <c r="C11" i="16"/>
  <c r="C12" i="16"/>
  <c r="C15" i="16"/>
  <c r="C16" i="16"/>
  <c r="C17" i="16"/>
  <c r="C18" i="16"/>
  <c r="C19" i="16"/>
  <c r="C20" i="16"/>
  <c r="C21" i="16"/>
  <c r="C22" i="16"/>
  <c r="C23" i="16"/>
  <c r="C24" i="16"/>
  <c r="C3" i="16"/>
  <c r="AH317" i="1" l="1"/>
  <c r="AH167" i="1"/>
  <c r="AH251" i="1"/>
  <c r="AH310" i="1"/>
  <c r="AF221" i="1"/>
  <c r="AH221" i="1" s="1"/>
  <c r="AG222" i="1"/>
  <c r="AF222" i="1" s="1"/>
  <c r="AH222" i="1" s="1"/>
  <c r="AE287" i="1"/>
  <c r="AD287" i="1"/>
  <c r="AH287" i="1" s="1"/>
  <c r="AH245" i="1"/>
  <c r="AE209" i="1"/>
  <c r="AD209" i="1"/>
  <c r="AH209" i="1" s="1"/>
  <c r="AD233" i="1"/>
  <c r="AH233" i="1" s="1"/>
  <c r="AE233" i="1"/>
  <c r="AE155" i="1"/>
  <c r="AD155" i="1"/>
  <c r="AH155" i="1" s="1"/>
  <c r="AD149" i="1"/>
  <c r="AH149" i="1" s="1"/>
  <c r="AE149" i="1"/>
  <c r="AH132" i="1"/>
  <c r="AH131" i="1"/>
  <c r="AE107" i="1"/>
  <c r="AD107" i="1"/>
  <c r="AH107" i="1" s="1"/>
  <c r="AH95" i="1"/>
  <c r="AH96" i="1"/>
  <c r="AF78" i="1"/>
  <c r="AG79" i="1"/>
  <c r="AF79" i="1" s="1"/>
  <c r="AH72" i="1"/>
  <c r="AH89" i="1"/>
  <c r="AE91" i="1"/>
  <c r="AD91" i="1"/>
  <c r="AH91" i="1" s="1"/>
  <c r="AH90" i="1"/>
  <c r="AE78" i="1"/>
  <c r="AC79" i="1" s="1"/>
  <c r="AD78" i="1"/>
  <c r="AH78" i="1" s="1"/>
  <c r="AF73" i="1"/>
  <c r="AH73" i="1" s="1"/>
  <c r="AG74" i="1"/>
  <c r="AE74" i="1"/>
  <c r="AC75" i="1" s="1"/>
  <c r="AD74" i="1"/>
  <c r="AE69" i="1"/>
  <c r="AC70" i="1" s="1"/>
  <c r="AD69" i="1"/>
  <c r="Y12" i="1"/>
  <c r="Y13" i="1"/>
  <c r="Y14" i="1"/>
  <c r="M12" i="1"/>
  <c r="N12" i="1" s="1"/>
  <c r="R36" i="18"/>
  <c r="AJ28" i="18"/>
  <c r="F221" i="13"/>
  <c r="F211" i="13"/>
  <c r="F212" i="13"/>
  <c r="F213" i="13"/>
  <c r="F214" i="13"/>
  <c r="F215" i="13"/>
  <c r="F216" i="13"/>
  <c r="F217" i="13"/>
  <c r="F218" i="13"/>
  <c r="F219" i="13"/>
  <c r="F220" i="13"/>
  <c r="F210" i="13"/>
  <c r="V54" i="1"/>
  <c r="V49" i="1"/>
  <c r="V43" i="1"/>
  <c r="AL44" i="18"/>
  <c r="AJ44" i="18"/>
  <c r="AF44" i="18"/>
  <c r="AD44" i="18"/>
  <c r="Z44" i="18"/>
  <c r="X44" i="18"/>
  <c r="T44" i="18"/>
  <c r="R44" i="18"/>
  <c r="N44" i="18"/>
  <c r="L44" i="18"/>
  <c r="AL36" i="18"/>
  <c r="AJ36" i="18"/>
  <c r="AF36" i="18"/>
  <c r="AD36" i="18"/>
  <c r="Z36" i="18"/>
  <c r="X36" i="18"/>
  <c r="T36" i="18"/>
  <c r="N36" i="18"/>
  <c r="L36" i="18"/>
  <c r="AL28" i="18"/>
  <c r="AF28" i="18"/>
  <c r="AD28" i="18"/>
  <c r="Z28" i="18"/>
  <c r="X28" i="18"/>
  <c r="T28" i="18"/>
  <c r="R28" i="18"/>
  <c r="N28" i="18"/>
  <c r="L28" i="18"/>
  <c r="AL20" i="18"/>
  <c r="AJ20" i="18"/>
  <c r="AF20" i="18"/>
  <c r="AD20" i="18"/>
  <c r="Z20" i="18"/>
  <c r="X20" i="18"/>
  <c r="T20" i="18"/>
  <c r="R20" i="18"/>
  <c r="N20" i="18"/>
  <c r="L20" i="18"/>
  <c r="AL12" i="18"/>
  <c r="AJ12" i="18"/>
  <c r="AF12" i="18"/>
  <c r="AD12" i="18"/>
  <c r="Z12" i="18"/>
  <c r="X12" i="18"/>
  <c r="T12" i="18"/>
  <c r="R12" i="18"/>
  <c r="N12" i="18"/>
  <c r="L12" i="18"/>
  <c r="Y65" i="1"/>
  <c r="V65" i="1"/>
  <c r="Y64" i="1"/>
  <c r="V64" i="1"/>
  <c r="Y63" i="1"/>
  <c r="V63" i="1"/>
  <c r="Y62" i="1"/>
  <c r="V62" i="1"/>
  <c r="Y61" i="1"/>
  <c r="V61" i="1"/>
  <c r="Y60" i="1"/>
  <c r="V60" i="1"/>
  <c r="M60" i="1"/>
  <c r="N60" i="1" s="1"/>
  <c r="Y59" i="1"/>
  <c r="V59" i="1"/>
  <c r="Y58" i="1"/>
  <c r="V58" i="1"/>
  <c r="Y57" i="1"/>
  <c r="V57" i="1"/>
  <c r="Y56" i="1"/>
  <c r="V56" i="1"/>
  <c r="Y55" i="1"/>
  <c r="V55" i="1"/>
  <c r="Y54" i="1"/>
  <c r="M54" i="1"/>
  <c r="N54" i="1" s="1"/>
  <c r="Y53" i="1"/>
  <c r="V53" i="1"/>
  <c r="Y52" i="1"/>
  <c r="V52" i="1"/>
  <c r="Y51" i="1"/>
  <c r="V51" i="1"/>
  <c r="Y50" i="1"/>
  <c r="V50" i="1"/>
  <c r="Y49" i="1"/>
  <c r="Y48" i="1"/>
  <c r="V48" i="1"/>
  <c r="M48" i="1"/>
  <c r="N48" i="1" s="1"/>
  <c r="Y47" i="1"/>
  <c r="V47" i="1"/>
  <c r="Y46" i="1"/>
  <c r="V46" i="1"/>
  <c r="Y45" i="1"/>
  <c r="V45" i="1"/>
  <c r="Y44" i="1"/>
  <c r="V44" i="1"/>
  <c r="Y43" i="1"/>
  <c r="Y42" i="1"/>
  <c r="V42" i="1"/>
  <c r="N42" i="1"/>
  <c r="Y41" i="1"/>
  <c r="V41" i="1"/>
  <c r="Y40" i="1"/>
  <c r="V40" i="1"/>
  <c r="Y39" i="1"/>
  <c r="V39" i="1"/>
  <c r="Y38" i="1"/>
  <c r="V38" i="1"/>
  <c r="Y37" i="1"/>
  <c r="V37" i="1"/>
  <c r="Y36" i="1"/>
  <c r="V36" i="1"/>
  <c r="M36" i="1"/>
  <c r="N36" i="1" s="1"/>
  <c r="Y35" i="1"/>
  <c r="V35" i="1"/>
  <c r="Y34" i="1"/>
  <c r="V34" i="1"/>
  <c r="Y33" i="1"/>
  <c r="V33" i="1"/>
  <c r="Y32" i="1"/>
  <c r="V32" i="1"/>
  <c r="Y31" i="1"/>
  <c r="V31" i="1"/>
  <c r="Y30" i="1"/>
  <c r="V30" i="1"/>
  <c r="M30" i="1"/>
  <c r="N30" i="1" s="1"/>
  <c r="Y29" i="1"/>
  <c r="V29" i="1"/>
  <c r="Y28" i="1"/>
  <c r="V28" i="1"/>
  <c r="Y27" i="1"/>
  <c r="V27" i="1"/>
  <c r="Y26" i="1"/>
  <c r="V26" i="1"/>
  <c r="Y25" i="1"/>
  <c r="Y24" i="1"/>
  <c r="M24" i="1"/>
  <c r="N24" i="1" s="1"/>
  <c r="M18" i="1"/>
  <c r="N18" i="1" s="1"/>
  <c r="V17" i="1"/>
  <c r="V16" i="1"/>
  <c r="V15" i="1"/>
  <c r="Y23" i="1"/>
  <c r="Y22" i="1"/>
  <c r="Y21" i="1"/>
  <c r="V21" i="1"/>
  <c r="Y20" i="1"/>
  <c r="V20" i="1"/>
  <c r="Y19" i="1"/>
  <c r="V19" i="1"/>
  <c r="Y18" i="1"/>
  <c r="V18" i="1"/>
  <c r="Y15" i="1"/>
  <c r="Y16" i="1"/>
  <c r="Y17" i="1"/>
  <c r="V14" i="1"/>
  <c r="V13" i="1"/>
  <c r="P44" i="1"/>
  <c r="P46" i="1"/>
  <c r="P43" i="1"/>
  <c r="P64" i="1"/>
  <c r="P23" i="1"/>
  <c r="P13" i="1"/>
  <c r="P52" i="1"/>
  <c r="P33" i="1"/>
  <c r="P28" i="1"/>
  <c r="P57" i="1"/>
  <c r="P15" i="1"/>
  <c r="P51" i="1"/>
  <c r="P41" i="1"/>
  <c r="P50" i="1"/>
  <c r="P56" i="1"/>
  <c r="P55" i="1"/>
  <c r="P14" i="1"/>
  <c r="P20" i="1"/>
  <c r="P70" i="1"/>
  <c r="P65" i="1"/>
  <c r="P63" i="1"/>
  <c r="P38" i="1"/>
  <c r="P25" i="1"/>
  <c r="P61" i="1"/>
  <c r="P45" i="1"/>
  <c r="P32" i="1"/>
  <c r="P49" i="1"/>
  <c r="P19" i="1"/>
  <c r="P17" i="1"/>
  <c r="P34" i="1"/>
  <c r="P29" i="1"/>
  <c r="P21" i="1"/>
  <c r="P58" i="1"/>
  <c r="P22" i="1"/>
  <c r="P69" i="1"/>
  <c r="P59" i="1"/>
  <c r="P68" i="1"/>
  <c r="P16" i="1"/>
  <c r="P26" i="1"/>
  <c r="P35" i="1"/>
  <c r="P27" i="1"/>
  <c r="P53" i="1"/>
  <c r="P31" i="1"/>
  <c r="P40" i="1"/>
  <c r="P39" i="1"/>
  <c r="P47" i="1"/>
  <c r="P62" i="1"/>
  <c r="P67" i="1"/>
  <c r="P37" i="1"/>
  <c r="B221" i="13" a="1"/>
  <c r="AD79" i="1" l="1"/>
  <c r="AH79" i="1" s="1"/>
  <c r="AE79" i="1"/>
  <c r="AF74" i="1"/>
  <c r="AH74" i="1" s="1"/>
  <c r="AG75" i="1"/>
  <c r="AF75" i="1" s="1"/>
  <c r="AE75" i="1"/>
  <c r="AD75" i="1"/>
  <c r="AE70" i="1"/>
  <c r="AD70" i="1"/>
  <c r="AC40" i="1"/>
  <c r="AE40" i="1" s="1"/>
  <c r="AG47" i="1"/>
  <c r="AF47" i="1" s="1"/>
  <c r="AG40" i="1"/>
  <c r="AF40" i="1" s="1"/>
  <c r="AC33" i="1"/>
  <c r="AE33" i="1" s="1"/>
  <c r="AC60" i="1"/>
  <c r="AD60" i="1" s="1"/>
  <c r="AG41" i="1"/>
  <c r="AF41" i="1" s="1"/>
  <c r="AC42" i="1"/>
  <c r="AD42" i="1" s="1"/>
  <c r="AG33" i="1"/>
  <c r="AF33" i="1" s="1"/>
  <c r="AC34" i="1"/>
  <c r="AD34" i="1" s="1"/>
  <c r="AC22" i="1"/>
  <c r="AE22" i="1" s="1"/>
  <c r="AG23" i="1"/>
  <c r="AF23" i="1" s="1"/>
  <c r="AC65" i="1"/>
  <c r="AE65" i="1" s="1"/>
  <c r="AC47" i="1"/>
  <c r="AD47" i="1" s="1"/>
  <c r="AG11" i="19" s="1"/>
  <c r="AC36" i="1"/>
  <c r="AD36" i="1" s="1"/>
  <c r="AC17" i="1"/>
  <c r="AD17" i="1" s="1"/>
  <c r="AC54" i="1"/>
  <c r="AD54" i="1" s="1"/>
  <c r="AC18" i="1"/>
  <c r="AD18" i="1" s="1"/>
  <c r="AG22" i="1"/>
  <c r="AF22" i="1" s="1"/>
  <c r="AC28" i="1"/>
  <c r="AD28" i="1" s="1"/>
  <c r="AG34" i="1"/>
  <c r="AF34" i="1" s="1"/>
  <c r="AC23" i="1"/>
  <c r="AD23" i="1" s="1"/>
  <c r="AG17" i="1"/>
  <c r="AF17" i="1" s="1"/>
  <c r="AG65" i="1"/>
  <c r="AF65" i="1" s="1"/>
  <c r="AC41" i="1"/>
  <c r="AD41" i="1" s="1"/>
  <c r="AG64" i="1"/>
  <c r="AF64" i="1" s="1"/>
  <c r="AC30" i="1"/>
  <c r="AC12" i="1"/>
  <c r="AC29" i="1"/>
  <c r="AG28" i="1"/>
  <c r="AF28" i="1" s="1"/>
  <c r="AC35" i="1"/>
  <c r="AG35" i="1"/>
  <c r="AF35" i="1" s="1"/>
  <c r="AG39" i="1"/>
  <c r="AF39" i="1" s="1"/>
  <c r="AC39" i="1"/>
  <c r="AC24" i="1"/>
  <c r="AG29" i="1"/>
  <c r="AF29" i="1" s="1"/>
  <c r="AC48" i="1"/>
  <c r="AC64" i="1"/>
  <c r="AD64" i="1" s="1"/>
  <c r="AG63" i="1"/>
  <c r="AF63" i="1" s="1"/>
  <c r="AC63" i="1"/>
  <c r="B221" i="13"/>
  <c r="H210" i="13" s="1"/>
  <c r="AH75" i="1" l="1"/>
  <c r="AD40" i="1"/>
  <c r="AL50" i="19" s="1"/>
  <c r="AE60" i="1"/>
  <c r="AC61" i="1" s="1"/>
  <c r="AD61" i="1" s="1"/>
  <c r="AD65" i="1"/>
  <c r="AA54" i="19" s="1"/>
  <c r="AE42" i="1"/>
  <c r="AC43" i="1" s="1"/>
  <c r="AE43" i="1" s="1"/>
  <c r="AC44" i="1" s="1"/>
  <c r="U40" i="19"/>
  <c r="AD33" i="1"/>
  <c r="AE29" i="19" s="1"/>
  <c r="AE34" i="1"/>
  <c r="N29" i="19"/>
  <c r="AD22" i="1"/>
  <c r="AF7" i="19" s="1"/>
  <c r="O21" i="19"/>
  <c r="T19" i="19"/>
  <c r="AF19" i="19"/>
  <c r="AM24" i="19"/>
  <c r="U11" i="19"/>
  <c r="AL19" i="19"/>
  <c r="AG51" i="19"/>
  <c r="T29" i="19"/>
  <c r="O14" i="19"/>
  <c r="T39" i="19"/>
  <c r="Z39" i="19"/>
  <c r="T49" i="19"/>
  <c r="AH47" i="1"/>
  <c r="AL9" i="19"/>
  <c r="AA41" i="19"/>
  <c r="AM21" i="19"/>
  <c r="N9" i="19"/>
  <c r="AG14" i="19"/>
  <c r="AF9" i="19"/>
  <c r="AL39" i="19"/>
  <c r="Z9" i="19"/>
  <c r="Z29" i="19"/>
  <c r="U51" i="19"/>
  <c r="AG41" i="19"/>
  <c r="T9" i="19"/>
  <c r="AL29" i="19"/>
  <c r="N49" i="19"/>
  <c r="O11" i="19"/>
  <c r="AA21" i="19"/>
  <c r="AF49" i="19"/>
  <c r="AH34" i="1"/>
  <c r="Z19" i="19"/>
  <c r="AM50" i="19"/>
  <c r="AM51" i="19"/>
  <c r="N19" i="19"/>
  <c r="AF39" i="19"/>
  <c r="Z49" i="19"/>
  <c r="AA10" i="19"/>
  <c r="AA11" i="19"/>
  <c r="AA31" i="19"/>
  <c r="O24" i="19"/>
  <c r="AM34" i="19"/>
  <c r="U21" i="19"/>
  <c r="AF29" i="19"/>
  <c r="AL49" i="19"/>
  <c r="AG21" i="19"/>
  <c r="AG31" i="19"/>
  <c r="AM41" i="19"/>
  <c r="N39" i="19"/>
  <c r="AE54" i="1"/>
  <c r="AC55" i="1" s="1"/>
  <c r="AD55" i="1" s="1"/>
  <c r="AE47" i="1"/>
  <c r="AG6" i="19"/>
  <c r="AE36" i="1"/>
  <c r="AC37" i="1" s="1"/>
  <c r="AE37" i="1" s="1"/>
  <c r="AC38" i="1" s="1"/>
  <c r="AD38" i="1" s="1"/>
  <c r="U20" i="19"/>
  <c r="AM30" i="19"/>
  <c r="AA20" i="19"/>
  <c r="AA40" i="19"/>
  <c r="AE41" i="1"/>
  <c r="AA30" i="19"/>
  <c r="O30" i="19"/>
  <c r="AE18" i="1"/>
  <c r="AC19" i="1" s="1"/>
  <c r="AE19" i="1" s="1"/>
  <c r="AC20" i="1" s="1"/>
  <c r="AE23" i="1"/>
  <c r="AE17" i="1"/>
  <c r="U41" i="19"/>
  <c r="AA51" i="19"/>
  <c r="O51" i="19"/>
  <c r="AM11" i="19"/>
  <c r="O41" i="19"/>
  <c r="O31" i="19"/>
  <c r="U31" i="19"/>
  <c r="AM31" i="19"/>
  <c r="T30" i="19"/>
  <c r="AF30" i="19"/>
  <c r="Z10" i="19"/>
  <c r="AL40" i="19"/>
  <c r="T10" i="19"/>
  <c r="T50" i="19"/>
  <c r="Z20" i="19"/>
  <c r="N50" i="19"/>
  <c r="N40" i="19"/>
  <c r="N20" i="19"/>
  <c r="Z40" i="19"/>
  <c r="O40" i="19"/>
  <c r="AF20" i="19"/>
  <c r="AL20" i="19"/>
  <c r="AL10" i="19"/>
  <c r="T20" i="19"/>
  <c r="AH41" i="1"/>
  <c r="AA50" i="19"/>
  <c r="AL30" i="19"/>
  <c r="T40" i="19"/>
  <c r="AM10" i="19"/>
  <c r="AG10" i="19"/>
  <c r="N30" i="19"/>
  <c r="AH40" i="1"/>
  <c r="Z30" i="19"/>
  <c r="Z50" i="19"/>
  <c r="AF10" i="19"/>
  <c r="AG20" i="19"/>
  <c r="AF40" i="19"/>
  <c r="N10" i="19"/>
  <c r="AF50" i="19"/>
  <c r="Y9" i="19"/>
  <c r="M19" i="19"/>
  <c r="AE28" i="1"/>
  <c r="AM46" i="19"/>
  <c r="AG26" i="19"/>
  <c r="AM6" i="19"/>
  <c r="AG16" i="19"/>
  <c r="AA36" i="19"/>
  <c r="AA6" i="19"/>
  <c r="AA16" i="19"/>
  <c r="AM36" i="19"/>
  <c r="AG36" i="19"/>
  <c r="AA46" i="19"/>
  <c r="O6" i="19"/>
  <c r="O46" i="19"/>
  <c r="O36" i="19"/>
  <c r="AM16" i="19"/>
  <c r="AH17" i="1"/>
  <c r="AG46" i="19"/>
  <c r="AM26" i="19"/>
  <c r="U46" i="19"/>
  <c r="U36" i="19"/>
  <c r="O16" i="19"/>
  <c r="O26" i="19"/>
  <c r="U16" i="19"/>
  <c r="AA26" i="19"/>
  <c r="U26" i="19"/>
  <c r="U6" i="19"/>
  <c r="AE30" i="1"/>
  <c r="AC31" i="1" s="1"/>
  <c r="AD31" i="1" s="1"/>
  <c r="AD30" i="1"/>
  <c r="Y39" i="19"/>
  <c r="Y19" i="19"/>
  <c r="M39" i="19"/>
  <c r="Y29" i="19"/>
  <c r="Y49" i="19"/>
  <c r="AE9" i="19"/>
  <c r="U30" i="19"/>
  <c r="AG40" i="19"/>
  <c r="AG30" i="19"/>
  <c r="AM20" i="19"/>
  <c r="AG50" i="19"/>
  <c r="U50" i="19"/>
  <c r="O10" i="19"/>
  <c r="O20" i="19"/>
  <c r="U10" i="19"/>
  <c r="O50" i="19"/>
  <c r="AM40" i="19"/>
  <c r="AD35" i="1"/>
  <c r="AE35" i="1"/>
  <c r="T27" i="19"/>
  <c r="AF17" i="19"/>
  <c r="T37" i="19"/>
  <c r="Z7" i="19"/>
  <c r="N17" i="19"/>
  <c r="N47" i="19"/>
  <c r="AH22" i="1"/>
  <c r="AL7" i="19"/>
  <c r="T47" i="19"/>
  <c r="AL47" i="19"/>
  <c r="AD29" i="1"/>
  <c r="AE29" i="1"/>
  <c r="AD12" i="1"/>
  <c r="AE12" i="1"/>
  <c r="AC13" i="1" s="1"/>
  <c r="AD24" i="1"/>
  <c r="AE24" i="1"/>
  <c r="AC25" i="1" s="1"/>
  <c r="N48" i="19"/>
  <c r="AL8" i="19"/>
  <c r="AL18" i="19"/>
  <c r="N18" i="19"/>
  <c r="N8" i="19"/>
  <c r="Z48" i="19"/>
  <c r="Z8" i="19"/>
  <c r="T28" i="19"/>
  <c r="AL48" i="19"/>
  <c r="T48" i="19"/>
  <c r="AF38" i="19"/>
  <c r="AL28" i="19"/>
  <c r="T8" i="19"/>
  <c r="Z28" i="19"/>
  <c r="N38" i="19"/>
  <c r="T38" i="19"/>
  <c r="Z18" i="19"/>
  <c r="AL38" i="19"/>
  <c r="Z38" i="19"/>
  <c r="AF8" i="19"/>
  <c r="AF28" i="19"/>
  <c r="AF48" i="19"/>
  <c r="T18" i="19"/>
  <c r="AF18" i="19"/>
  <c r="N28" i="19"/>
  <c r="AH28" i="1"/>
  <c r="AD48" i="1"/>
  <c r="AE48" i="1"/>
  <c r="AC49" i="1" s="1"/>
  <c r="AG37" i="19"/>
  <c r="AA47" i="19"/>
  <c r="AH23" i="1"/>
  <c r="AG17" i="19"/>
  <c r="AG47" i="19"/>
  <c r="O27" i="19"/>
  <c r="AA17" i="19"/>
  <c r="O47" i="19"/>
  <c r="AM37" i="19"/>
  <c r="U7" i="19"/>
  <c r="U37" i="19"/>
  <c r="O7" i="19"/>
  <c r="AA27" i="19"/>
  <c r="AM47" i="19"/>
  <c r="AM17" i="19"/>
  <c r="AA37" i="19"/>
  <c r="U27" i="19"/>
  <c r="O17" i="19"/>
  <c r="AA7" i="19"/>
  <c r="AG7" i="19"/>
  <c r="AG27" i="19"/>
  <c r="AM7" i="19"/>
  <c r="U17" i="19"/>
  <c r="O37" i="19"/>
  <c r="U47" i="19"/>
  <c r="AM27" i="19"/>
  <c r="AD39" i="1"/>
  <c r="AE39" i="1"/>
  <c r="AE64" i="1"/>
  <c r="N44" i="19"/>
  <c r="N54" i="19"/>
  <c r="AL24" i="19"/>
  <c r="AF54" i="19"/>
  <c r="T24" i="19"/>
  <c r="T34" i="19"/>
  <c r="Z34" i="19"/>
  <c r="AL34" i="19"/>
  <c r="N24" i="19"/>
  <c r="Z14" i="19"/>
  <c r="AH64" i="1"/>
  <c r="AL14" i="19"/>
  <c r="N34" i="19"/>
  <c r="AF14" i="19"/>
  <c r="AF44" i="19"/>
  <c r="Z44" i="19"/>
  <c r="Z54" i="19"/>
  <c r="N14" i="19"/>
  <c r="T14" i="19"/>
  <c r="AL54" i="19"/>
  <c r="AF34" i="19"/>
  <c r="T54" i="19"/>
  <c r="AL44" i="19"/>
  <c r="Z24" i="19"/>
  <c r="T44" i="19"/>
  <c r="AF24" i="19"/>
  <c r="AE63" i="1"/>
  <c r="AD63" i="1"/>
  <c r="P30" i="1"/>
  <c r="Q30" i="1" s="1"/>
  <c r="P18" i="1"/>
  <c r="Q18" i="1" s="1"/>
  <c r="P48" i="1"/>
  <c r="Q48" i="1" s="1"/>
  <c r="P12" i="1"/>
  <c r="Q12" i="1" s="1"/>
  <c r="P36" i="1"/>
  <c r="Q36" i="1" s="1"/>
  <c r="P60" i="1"/>
  <c r="Q60" i="1" s="1"/>
  <c r="P54" i="1"/>
  <c r="Q54" i="1" s="1"/>
  <c r="P42" i="1"/>
  <c r="Q42" i="1" s="1"/>
  <c r="P24" i="1"/>
  <c r="Q24" i="1" s="1"/>
  <c r="P66" i="1"/>
  <c r="Q66" i="1" s="1"/>
  <c r="AD37" i="1" l="1"/>
  <c r="AK39" i="19"/>
  <c r="M29" i="19"/>
  <c r="AK9" i="19"/>
  <c r="S19" i="19"/>
  <c r="U44" i="19"/>
  <c r="AK19" i="19"/>
  <c r="M49" i="19"/>
  <c r="AH33" i="1"/>
  <c r="AE49" i="19"/>
  <c r="AH65" i="1"/>
  <c r="S9" i="19"/>
  <c r="AK49" i="19"/>
  <c r="U54" i="19"/>
  <c r="AE39" i="19"/>
  <c r="S29" i="19"/>
  <c r="AK29" i="19"/>
  <c r="S49" i="19"/>
  <c r="M9" i="19"/>
  <c r="S39" i="19"/>
  <c r="AE19" i="19"/>
  <c r="AG54" i="19"/>
  <c r="AM44" i="19"/>
  <c r="AE38" i="1"/>
  <c r="AF47" i="19"/>
  <c r="Z27" i="19"/>
  <c r="N27" i="19"/>
  <c r="Z17" i="19"/>
  <c r="T7" i="19"/>
  <c r="AF27" i="19"/>
  <c r="AF37" i="19"/>
  <c r="U34" i="19"/>
  <c r="AM14" i="19"/>
  <c r="AG34" i="19"/>
  <c r="O44" i="19"/>
  <c r="AA44" i="19"/>
  <c r="R66" i="1"/>
  <c r="AG66" i="1" s="1"/>
  <c r="S66" i="1"/>
  <c r="AD43" i="1"/>
  <c r="T17" i="19"/>
  <c r="Z47" i="19"/>
  <c r="AL27" i="19"/>
  <c r="U24" i="19"/>
  <c r="O54" i="19"/>
  <c r="AM54" i="19"/>
  <c r="AL37" i="19"/>
  <c r="N7" i="19"/>
  <c r="Z37" i="19"/>
  <c r="U14" i="19"/>
  <c r="O34" i="19"/>
  <c r="AL17" i="19"/>
  <c r="N37" i="19"/>
  <c r="AA34" i="19"/>
  <c r="AG44" i="19"/>
  <c r="AA14" i="19"/>
  <c r="AG24" i="19"/>
  <c r="AA24" i="19"/>
  <c r="AE61" i="1"/>
  <c r="AC62" i="1" s="1"/>
  <c r="AE55" i="1"/>
  <c r="AC56" i="1" s="1"/>
  <c r="AE56" i="1" s="1"/>
  <c r="AC57" i="1" s="1"/>
  <c r="AD19" i="1"/>
  <c r="AE31" i="1"/>
  <c r="AC32" i="1" s="1"/>
  <c r="O8" i="19"/>
  <c r="AA28" i="19"/>
  <c r="AM48" i="19"/>
  <c r="O48" i="19"/>
  <c r="AA48" i="19"/>
  <c r="AG28" i="19"/>
  <c r="U28" i="19"/>
  <c r="AM28" i="19"/>
  <c r="AM38" i="19"/>
  <c r="AA8" i="19"/>
  <c r="O38" i="19"/>
  <c r="AA18" i="19"/>
  <c r="U48" i="19"/>
  <c r="U18" i="19"/>
  <c r="U8" i="19"/>
  <c r="AG8" i="19"/>
  <c r="AG38" i="19"/>
  <c r="AG48" i="19"/>
  <c r="AM18" i="19"/>
  <c r="AA38" i="19"/>
  <c r="U38" i="19"/>
  <c r="AM8" i="19"/>
  <c r="O18" i="19"/>
  <c r="AG18" i="19"/>
  <c r="O28" i="19"/>
  <c r="AH29" i="1"/>
  <c r="M40" i="19"/>
  <c r="Y10" i="19"/>
  <c r="AK50" i="19"/>
  <c r="M10" i="19"/>
  <c r="M30" i="19"/>
  <c r="AE10" i="19"/>
  <c r="AK20" i="19"/>
  <c r="AE50" i="19"/>
  <c r="S20" i="19"/>
  <c r="AE40" i="19"/>
  <c r="AK10" i="19"/>
  <c r="AE20" i="19"/>
  <c r="M50" i="19"/>
  <c r="Y30" i="19"/>
  <c r="AK30" i="19"/>
  <c r="S50" i="19"/>
  <c r="AK40" i="19"/>
  <c r="M20" i="19"/>
  <c r="Y40" i="19"/>
  <c r="S10" i="19"/>
  <c r="AH39" i="1"/>
  <c r="S40" i="19"/>
  <c r="Y50" i="19"/>
  <c r="S30" i="19"/>
  <c r="Y20" i="19"/>
  <c r="AE30" i="19"/>
  <c r="AD13" i="1"/>
  <c r="AE13" i="1"/>
  <c r="AC14" i="1" s="1"/>
  <c r="O39" i="19"/>
  <c r="U39" i="19"/>
  <c r="AM9" i="19"/>
  <c r="AH35" i="1"/>
  <c r="AG9" i="19"/>
  <c r="AA49" i="19"/>
  <c r="AG49" i="19"/>
  <c r="AA39" i="19"/>
  <c r="AG19" i="19"/>
  <c r="O29" i="19"/>
  <c r="AM49" i="19"/>
  <c r="U9" i="19"/>
  <c r="U29" i="19"/>
  <c r="O19" i="19"/>
  <c r="U19" i="19"/>
  <c r="AG39" i="19"/>
  <c r="O49" i="19"/>
  <c r="AM39" i="19"/>
  <c r="AA9" i="19"/>
  <c r="AG29" i="19"/>
  <c r="U49" i="19"/>
  <c r="AM29" i="19"/>
  <c r="AA29" i="19"/>
  <c r="O9" i="19"/>
  <c r="AM19" i="19"/>
  <c r="AA19" i="19"/>
  <c r="AD49" i="1"/>
  <c r="AE49" i="1"/>
  <c r="AC50" i="1" s="1"/>
  <c r="AD20" i="1"/>
  <c r="AE20" i="1"/>
  <c r="AC21" i="1" s="1"/>
  <c r="AD25" i="1"/>
  <c r="AE25" i="1"/>
  <c r="AC26" i="1" s="1"/>
  <c r="AD44" i="1"/>
  <c r="AE44" i="1"/>
  <c r="AC45" i="1" s="1"/>
  <c r="AA55" i="19"/>
  <c r="AA25" i="19"/>
  <c r="AA45" i="19"/>
  <c r="AG55" i="19"/>
  <c r="O45" i="19"/>
  <c r="AM45" i="19"/>
  <c r="AM15" i="19"/>
  <c r="U55" i="19"/>
  <c r="AA15" i="19"/>
  <c r="AG25" i="19"/>
  <c r="U45" i="19"/>
  <c r="O55" i="19"/>
  <c r="O25" i="19"/>
  <c r="O15" i="19"/>
  <c r="AG35" i="19"/>
  <c r="U25" i="19"/>
  <c r="O35" i="19"/>
  <c r="AM25" i="19"/>
  <c r="AA35" i="19"/>
  <c r="AG15" i="19"/>
  <c r="AM55" i="19"/>
  <c r="U15" i="19"/>
  <c r="AG45" i="19"/>
  <c r="U35" i="19"/>
  <c r="AM35" i="19"/>
  <c r="M44" i="19"/>
  <c r="M34" i="19"/>
  <c r="S34" i="19"/>
  <c r="AK54" i="19"/>
  <c r="AK44" i="19"/>
  <c r="AH63" i="1"/>
  <c r="AE54" i="19"/>
  <c r="M24" i="19"/>
  <c r="M54" i="19"/>
  <c r="AE24" i="19"/>
  <c r="AE34" i="19"/>
  <c r="Y14" i="19"/>
  <c r="S54" i="19"/>
  <c r="Y54" i="19"/>
  <c r="AK14" i="19"/>
  <c r="AK24" i="19"/>
  <c r="Y24" i="19"/>
  <c r="M14" i="19"/>
  <c r="AE14" i="19"/>
  <c r="Y34" i="19"/>
  <c r="AK34" i="19"/>
  <c r="S44" i="19"/>
  <c r="Y44" i="19"/>
  <c r="S14" i="19"/>
  <c r="S24" i="19"/>
  <c r="AE44" i="19"/>
  <c r="X42" i="18"/>
  <c r="X34" i="18"/>
  <c r="L18" i="18"/>
  <c r="X26" i="18"/>
  <c r="AD34" i="18"/>
  <c r="X10" i="18"/>
  <c r="AJ26" i="18"/>
  <c r="AJ18" i="18"/>
  <c r="L42" i="18"/>
  <c r="AJ34" i="18"/>
  <c r="AJ42" i="18"/>
  <c r="L26" i="18"/>
  <c r="R26" i="18"/>
  <c r="R10" i="18"/>
  <c r="X18" i="18"/>
  <c r="R54" i="1"/>
  <c r="AG54" i="1" s="1"/>
  <c r="R42" i="18"/>
  <c r="AD10" i="18"/>
  <c r="L34" i="18"/>
  <c r="AD26" i="18"/>
  <c r="S54" i="1"/>
  <c r="L10" i="18"/>
  <c r="R18" i="18"/>
  <c r="AJ10" i="18"/>
  <c r="AD42" i="18"/>
  <c r="R34" i="18"/>
  <c r="AD18" i="18"/>
  <c r="AF32" i="18"/>
  <c r="Z16" i="18"/>
  <c r="N8" i="18"/>
  <c r="Z24" i="18"/>
  <c r="T40" i="18"/>
  <c r="T24" i="18"/>
  <c r="N24" i="18"/>
  <c r="AL16" i="18"/>
  <c r="AL8" i="18"/>
  <c r="N16" i="18"/>
  <c r="AF16" i="18"/>
  <c r="AF8" i="18"/>
  <c r="Z8" i="18"/>
  <c r="AL32" i="18"/>
  <c r="AF24" i="18"/>
  <c r="T8" i="18"/>
  <c r="AL40" i="18"/>
  <c r="N40" i="18"/>
  <c r="R42" i="1"/>
  <c r="AG42" i="1" s="1"/>
  <c r="AF40" i="18"/>
  <c r="S42" i="1"/>
  <c r="Z40" i="18"/>
  <c r="T32" i="18"/>
  <c r="AL24" i="18"/>
  <c r="Z32" i="18"/>
  <c r="N32" i="18"/>
  <c r="T16" i="18"/>
  <c r="Z18" i="18"/>
  <c r="T34" i="18"/>
  <c r="Z34" i="18"/>
  <c r="AL10" i="18"/>
  <c r="N26" i="18"/>
  <c r="T10" i="18"/>
  <c r="AF34" i="18"/>
  <c r="N18" i="18"/>
  <c r="Z26" i="18"/>
  <c r="T42" i="18"/>
  <c r="AF42" i="18"/>
  <c r="T26" i="18"/>
  <c r="AL34" i="18"/>
  <c r="N42" i="18"/>
  <c r="AF10" i="18"/>
  <c r="R60" i="1"/>
  <c r="AG60" i="1" s="1"/>
  <c r="T18" i="18"/>
  <c r="AL42" i="18"/>
  <c r="AL26" i="18"/>
  <c r="N34" i="18"/>
  <c r="AF26" i="18"/>
  <c r="Z10" i="18"/>
  <c r="AL18" i="18"/>
  <c r="N10" i="18"/>
  <c r="AF18" i="18"/>
  <c r="Z42" i="18"/>
  <c r="S60" i="1"/>
  <c r="AD24" i="18"/>
  <c r="AJ8" i="18"/>
  <c r="X32" i="18"/>
  <c r="AJ32" i="18"/>
  <c r="R36" i="1"/>
  <c r="AG36" i="1" s="1"/>
  <c r="AJ40" i="18"/>
  <c r="R32" i="18"/>
  <c r="L32" i="18"/>
  <c r="X16" i="18"/>
  <c r="AD16" i="18"/>
  <c r="AJ16" i="18"/>
  <c r="X8" i="18"/>
  <c r="L24" i="18"/>
  <c r="R8" i="18"/>
  <c r="X24" i="18"/>
  <c r="AJ24" i="18"/>
  <c r="S36" i="1"/>
  <c r="AD32" i="18"/>
  <c r="R40" i="18"/>
  <c r="L16" i="18"/>
  <c r="L40" i="18"/>
  <c r="AD8" i="18"/>
  <c r="R24" i="18"/>
  <c r="R16" i="18"/>
  <c r="L8" i="18"/>
  <c r="AD40" i="18"/>
  <c r="X40" i="18"/>
  <c r="V14" i="18"/>
  <c r="AB14" i="18"/>
  <c r="J38" i="18"/>
  <c r="P6" i="18"/>
  <c r="P22" i="18"/>
  <c r="AB38" i="18"/>
  <c r="AH6" i="18"/>
  <c r="S12" i="1"/>
  <c r="J14" i="18"/>
  <c r="R12" i="1"/>
  <c r="AG12" i="1" s="1"/>
  <c r="J6" i="18"/>
  <c r="P14" i="18"/>
  <c r="AB22" i="18"/>
  <c r="P30" i="18"/>
  <c r="V22" i="18"/>
  <c r="V30" i="18"/>
  <c r="AH30" i="18"/>
  <c r="AH22" i="18"/>
  <c r="V6" i="18"/>
  <c r="AB30" i="18"/>
  <c r="V38" i="18"/>
  <c r="J22" i="18"/>
  <c r="AH14" i="18"/>
  <c r="AH38" i="18"/>
  <c r="J30" i="18"/>
  <c r="P38" i="18"/>
  <c r="AB6" i="18"/>
  <c r="R48" i="1"/>
  <c r="AG48" i="1" s="1"/>
  <c r="AB18" i="18"/>
  <c r="AB26" i="18"/>
  <c r="AB10" i="18"/>
  <c r="AB42" i="18"/>
  <c r="AH26" i="18"/>
  <c r="J18" i="18"/>
  <c r="P42" i="18"/>
  <c r="AH18" i="18"/>
  <c r="AH10" i="18"/>
  <c r="J42" i="18"/>
  <c r="V42" i="18"/>
  <c r="J34" i="18"/>
  <c r="P18" i="18"/>
  <c r="P34" i="18"/>
  <c r="AH42" i="18"/>
  <c r="J10" i="18"/>
  <c r="V18" i="18"/>
  <c r="P10" i="18"/>
  <c r="V34" i="18"/>
  <c r="V26" i="18"/>
  <c r="AB34" i="18"/>
  <c r="V10" i="18"/>
  <c r="S48" i="1"/>
  <c r="P26" i="18"/>
  <c r="AH34" i="18"/>
  <c r="J26" i="18"/>
  <c r="P12" i="18"/>
  <c r="V44" i="18"/>
  <c r="AH28" i="18"/>
  <c r="AH20" i="18"/>
  <c r="J28" i="18"/>
  <c r="V36" i="18"/>
  <c r="AB28" i="18"/>
  <c r="J36" i="18"/>
  <c r="AH44" i="18"/>
  <c r="P28" i="18"/>
  <c r="P36" i="18"/>
  <c r="AB20" i="18"/>
  <c r="J12" i="18"/>
  <c r="AB44" i="18"/>
  <c r="AB36" i="18"/>
  <c r="P20" i="18"/>
  <c r="AH36" i="18"/>
  <c r="V12" i="18"/>
  <c r="AH12" i="18"/>
  <c r="V28" i="18"/>
  <c r="J20" i="18"/>
  <c r="V20" i="18"/>
  <c r="P44" i="18"/>
  <c r="J44" i="18"/>
  <c r="AB12" i="18"/>
  <c r="R22" i="18"/>
  <c r="R18" i="1"/>
  <c r="AG18" i="1" s="1"/>
  <c r="AD30" i="18"/>
  <c r="AD14" i="18"/>
  <c r="L6" i="18"/>
  <c r="AJ38" i="18"/>
  <c r="R6" i="18"/>
  <c r="AD38" i="18"/>
  <c r="AJ14" i="18"/>
  <c r="L22" i="18"/>
  <c r="X6" i="18"/>
  <c r="S18" i="1"/>
  <c r="R14" i="18"/>
  <c r="AJ6" i="18"/>
  <c r="AJ30" i="18"/>
  <c r="AD22" i="18"/>
  <c r="AD6" i="18"/>
  <c r="L38" i="18"/>
  <c r="AJ22" i="18"/>
  <c r="X30" i="18"/>
  <c r="R30" i="18"/>
  <c r="L14" i="18"/>
  <c r="X22" i="18"/>
  <c r="X38" i="18"/>
  <c r="X14" i="18"/>
  <c r="L30" i="18"/>
  <c r="R38" i="18"/>
  <c r="T22" i="18"/>
  <c r="R24" i="1"/>
  <c r="AG24" i="1" s="1"/>
  <c r="Z22" i="18"/>
  <c r="AL14" i="18"/>
  <c r="T30" i="18"/>
  <c r="N14" i="18"/>
  <c r="N6" i="18"/>
  <c r="T6" i="18"/>
  <c r="Z38" i="18"/>
  <c r="Z6" i="18"/>
  <c r="AF6" i="18"/>
  <c r="AF14" i="18"/>
  <c r="N30" i="18"/>
  <c r="T38" i="18"/>
  <c r="AF38" i="18"/>
  <c r="AF30" i="18"/>
  <c r="AL30" i="18"/>
  <c r="AL22" i="18"/>
  <c r="T14" i="18"/>
  <c r="Z30" i="18"/>
  <c r="AL38" i="18"/>
  <c r="AL6" i="18"/>
  <c r="N22" i="18"/>
  <c r="Z14" i="18"/>
  <c r="S24" i="1"/>
  <c r="AF22" i="18"/>
  <c r="N38" i="18"/>
  <c r="AB40" i="18"/>
  <c r="V24" i="18"/>
  <c r="V8" i="18"/>
  <c r="J32" i="18"/>
  <c r="AH32" i="18"/>
  <c r="P24" i="18"/>
  <c r="AH24" i="18"/>
  <c r="P8" i="18"/>
  <c r="V32" i="18"/>
  <c r="AB32" i="18"/>
  <c r="J16" i="18"/>
  <c r="AH16" i="18"/>
  <c r="AB8" i="18"/>
  <c r="J40" i="18"/>
  <c r="P32" i="18"/>
  <c r="AB16" i="18"/>
  <c r="J24" i="18"/>
  <c r="V40" i="18"/>
  <c r="V16" i="18"/>
  <c r="P16" i="18"/>
  <c r="P40" i="18"/>
  <c r="AH8" i="18"/>
  <c r="AH40" i="18"/>
  <c r="AB24" i="18"/>
  <c r="J8" i="18"/>
  <c r="S30" i="1"/>
  <c r="R30" i="1"/>
  <c r="AG30" i="1" s="1"/>
  <c r="AF66" i="1" l="1"/>
  <c r="AH66" i="1" s="1"/>
  <c r="AG67" i="1"/>
  <c r="AD56" i="1"/>
  <c r="AF60" i="1"/>
  <c r="AG61" i="1"/>
  <c r="AD62" i="1"/>
  <c r="AE62" i="1"/>
  <c r="AD32" i="1"/>
  <c r="AE32" i="1"/>
  <c r="AD26" i="1"/>
  <c r="AE26" i="1"/>
  <c r="AC27" i="1" s="1"/>
  <c r="AE21" i="1"/>
  <c r="AD21" i="1"/>
  <c r="AE57" i="1"/>
  <c r="AC58" i="1" s="1"/>
  <c r="AD57" i="1"/>
  <c r="AD45" i="1"/>
  <c r="AE45" i="1"/>
  <c r="AC46" i="1" s="1"/>
  <c r="AE50" i="1"/>
  <c r="AC51" i="1" s="1"/>
  <c r="AD50" i="1"/>
  <c r="AD14" i="1"/>
  <c r="AE14" i="1"/>
  <c r="AC15" i="1" s="1"/>
  <c r="AF54" i="1"/>
  <c r="AB53" i="19" s="1"/>
  <c r="AG55" i="1"/>
  <c r="AG49" i="1"/>
  <c r="AF48" i="1"/>
  <c r="AG19" i="1"/>
  <c r="AG21" i="1" s="1"/>
  <c r="AF21" i="1" s="1"/>
  <c r="AF18" i="1"/>
  <c r="AG31" i="1"/>
  <c r="AF30" i="1"/>
  <c r="AF12" i="1"/>
  <c r="AG13" i="1"/>
  <c r="AG37" i="1"/>
  <c r="AF36" i="1"/>
  <c r="AG43" i="1"/>
  <c r="AF42" i="1"/>
  <c r="AF24" i="1"/>
  <c r="AG25" i="1"/>
  <c r="AG68" i="1" l="1"/>
  <c r="AF67" i="1"/>
  <c r="AH67" i="1" s="1"/>
  <c r="J15" i="19"/>
  <c r="P35" i="19"/>
  <c r="AB25" i="19"/>
  <c r="AB45" i="19"/>
  <c r="AH35" i="19"/>
  <c r="V35" i="19"/>
  <c r="AH45" i="19"/>
  <c r="AH15" i="19"/>
  <c r="J35" i="19"/>
  <c r="AH55" i="19"/>
  <c r="J45" i="19"/>
  <c r="J25" i="19"/>
  <c r="P45" i="19"/>
  <c r="AB15" i="19"/>
  <c r="V25" i="19"/>
  <c r="P15" i="19"/>
  <c r="V15" i="19"/>
  <c r="AB35" i="19"/>
  <c r="P25" i="19"/>
  <c r="AB55" i="19"/>
  <c r="V45" i="19"/>
  <c r="P55" i="19"/>
  <c r="J55" i="19"/>
  <c r="V55" i="19"/>
  <c r="AH25" i="19"/>
  <c r="AF61" i="1"/>
  <c r="AG62" i="1"/>
  <c r="AF62" i="1" s="1"/>
  <c r="AJ54" i="19" s="1"/>
  <c r="V54" i="19"/>
  <c r="AH60" i="1"/>
  <c r="V14" i="19"/>
  <c r="AB24" i="19"/>
  <c r="AB44" i="19"/>
  <c r="AH24" i="19"/>
  <c r="AH34" i="19"/>
  <c r="P24" i="19"/>
  <c r="P34" i="19"/>
  <c r="AH14" i="19"/>
  <c r="J14" i="19"/>
  <c r="AB34" i="19"/>
  <c r="AB54" i="19"/>
  <c r="AH44" i="19"/>
  <c r="V44" i="19"/>
  <c r="J54" i="19"/>
  <c r="J24" i="19"/>
  <c r="V24" i="19"/>
  <c r="AH54" i="19"/>
  <c r="P14" i="19"/>
  <c r="P44" i="19"/>
  <c r="V34" i="19"/>
  <c r="P54" i="19"/>
  <c r="AB14" i="19"/>
  <c r="J34" i="19"/>
  <c r="J44" i="19"/>
  <c r="AD58" i="1"/>
  <c r="AE58" i="1"/>
  <c r="AC59" i="1" s="1"/>
  <c r="AE51" i="1"/>
  <c r="AC52" i="1" s="1"/>
  <c r="AD51" i="1"/>
  <c r="AF37" i="1"/>
  <c r="W40" i="19" s="1"/>
  <c r="AG38" i="1"/>
  <c r="AF38" i="1" s="1"/>
  <c r="AF31" i="1"/>
  <c r="W29" i="19" s="1"/>
  <c r="AG32" i="1"/>
  <c r="AF32" i="1" s="1"/>
  <c r="AD19" i="19" s="1"/>
  <c r="AE27" i="1"/>
  <c r="AD27" i="1"/>
  <c r="AF25" i="1"/>
  <c r="Q28" i="19" s="1"/>
  <c r="AG26" i="1"/>
  <c r="AF26" i="1" s="1"/>
  <c r="L28" i="19" s="1"/>
  <c r="AG27" i="1"/>
  <c r="AF27" i="1" s="1"/>
  <c r="S47" i="19"/>
  <c r="AE47" i="19"/>
  <c r="Y47" i="19"/>
  <c r="AK17" i="19"/>
  <c r="AK7" i="19"/>
  <c r="S37" i="19"/>
  <c r="S17" i="19"/>
  <c r="AE27" i="19"/>
  <c r="Y17" i="19"/>
  <c r="AE7" i="19"/>
  <c r="AE17" i="19"/>
  <c r="S27" i="19"/>
  <c r="Y27" i="19"/>
  <c r="S7" i="19"/>
  <c r="AK37" i="19"/>
  <c r="M7" i="19"/>
  <c r="Y7" i="19"/>
  <c r="AK27" i="19"/>
  <c r="AK47" i="19"/>
  <c r="AH21" i="1"/>
  <c r="M27" i="19"/>
  <c r="Y37" i="19"/>
  <c r="AE37" i="19"/>
  <c r="M37" i="19"/>
  <c r="M47" i="19"/>
  <c r="M17" i="19"/>
  <c r="AD15" i="1"/>
  <c r="AE15" i="1"/>
  <c r="AC16" i="1" s="1"/>
  <c r="AF55" i="1"/>
  <c r="Q33" i="19" s="1"/>
  <c r="AG56" i="1"/>
  <c r="AF56" i="1" s="1"/>
  <c r="AE46" i="1"/>
  <c r="AD46" i="1"/>
  <c r="J53" i="19"/>
  <c r="AH53" i="19"/>
  <c r="V23" i="19"/>
  <c r="AB23" i="19"/>
  <c r="J33" i="19"/>
  <c r="P33" i="19"/>
  <c r="AH23" i="19"/>
  <c r="V43" i="19"/>
  <c r="AB13" i="19"/>
  <c r="AH54" i="1"/>
  <c r="AH13" i="19"/>
  <c r="V13" i="19"/>
  <c r="J13" i="19"/>
  <c r="V33" i="19"/>
  <c r="AH33" i="19"/>
  <c r="P23" i="19"/>
  <c r="P53" i="19"/>
  <c r="J23" i="19"/>
  <c r="J43" i="19"/>
  <c r="AH43" i="19"/>
  <c r="V53" i="19"/>
  <c r="P13" i="19"/>
  <c r="P43" i="19"/>
  <c r="AB33" i="19"/>
  <c r="AB43" i="19"/>
  <c r="AB18" i="19"/>
  <c r="V48" i="19"/>
  <c r="AH28" i="19"/>
  <c r="AH18" i="19"/>
  <c r="AB38" i="19"/>
  <c r="J38" i="19"/>
  <c r="V38" i="19"/>
  <c r="J48" i="19"/>
  <c r="J28" i="19"/>
  <c r="AB48" i="19"/>
  <c r="AB28" i="19"/>
  <c r="J8" i="19"/>
  <c r="P18" i="19"/>
  <c r="V28" i="19"/>
  <c r="P48" i="19"/>
  <c r="AB8" i="19"/>
  <c r="P38" i="19"/>
  <c r="P8" i="19"/>
  <c r="AH8" i="19"/>
  <c r="AH48" i="19"/>
  <c r="V8" i="19"/>
  <c r="AH38" i="19"/>
  <c r="AH24" i="1"/>
  <c r="V18" i="19"/>
  <c r="P28" i="19"/>
  <c r="J18" i="19"/>
  <c r="V10" i="19"/>
  <c r="AH40" i="19"/>
  <c r="V50" i="19"/>
  <c r="AB10" i="19"/>
  <c r="AH50" i="19"/>
  <c r="V40" i="19"/>
  <c r="AH36" i="1"/>
  <c r="AB40" i="19"/>
  <c r="P50" i="19"/>
  <c r="P20" i="19"/>
  <c r="J30" i="19"/>
  <c r="J20" i="19"/>
  <c r="J40" i="19"/>
  <c r="AH10" i="19"/>
  <c r="V30" i="19"/>
  <c r="P40" i="19"/>
  <c r="J10" i="19"/>
  <c r="V20" i="19"/>
  <c r="P30" i="19"/>
  <c r="AB20" i="19"/>
  <c r="AB50" i="19"/>
  <c r="J50" i="19"/>
  <c r="P10" i="19"/>
  <c r="AB30" i="19"/>
  <c r="AH20" i="19"/>
  <c r="AH30" i="19"/>
  <c r="AF13" i="1"/>
  <c r="AG14" i="1"/>
  <c r="AB6" i="19"/>
  <c r="AB36" i="19"/>
  <c r="AH46" i="19"/>
  <c r="AB26" i="19"/>
  <c r="J16" i="19"/>
  <c r="AH6" i="19"/>
  <c r="AH16" i="19"/>
  <c r="J46" i="19"/>
  <c r="V46" i="19"/>
  <c r="AH36" i="19"/>
  <c r="V26" i="19"/>
  <c r="AB46" i="19"/>
  <c r="J26" i="19"/>
  <c r="AH26" i="19"/>
  <c r="V16" i="19"/>
  <c r="AB16" i="19"/>
  <c r="P6" i="19"/>
  <c r="P46" i="19"/>
  <c r="V36" i="19"/>
  <c r="J36" i="19"/>
  <c r="V6" i="19"/>
  <c r="P16" i="19"/>
  <c r="AH12" i="1"/>
  <c r="J6" i="19"/>
  <c r="P36" i="19"/>
  <c r="P26" i="19"/>
  <c r="P9" i="19"/>
  <c r="V49" i="19"/>
  <c r="J29" i="19"/>
  <c r="P29" i="19"/>
  <c r="V29" i="19"/>
  <c r="AB49" i="19"/>
  <c r="J9" i="19"/>
  <c r="AH30" i="1"/>
  <c r="AH19" i="19"/>
  <c r="V19" i="19"/>
  <c r="V39" i="19"/>
  <c r="AB39" i="19"/>
  <c r="AH29" i="19"/>
  <c r="AH49" i="19"/>
  <c r="AB9" i="19"/>
  <c r="J49" i="19"/>
  <c r="J19" i="19"/>
  <c r="J39" i="19"/>
  <c r="P39" i="19"/>
  <c r="V9" i="19"/>
  <c r="AH39" i="19"/>
  <c r="P19" i="19"/>
  <c r="AB19" i="19"/>
  <c r="AB29" i="19"/>
  <c r="P49" i="19"/>
  <c r="AH9" i="19"/>
  <c r="W9" i="19"/>
  <c r="AH31" i="1"/>
  <c r="AI49" i="19"/>
  <c r="J37" i="19"/>
  <c r="P47" i="19"/>
  <c r="AB37" i="19"/>
  <c r="AH37" i="19"/>
  <c r="P17" i="19"/>
  <c r="AB7" i="19"/>
  <c r="AB17" i="19"/>
  <c r="J17" i="19"/>
  <c r="AH27" i="19"/>
  <c r="J7" i="19"/>
  <c r="AH7" i="19"/>
  <c r="AH17" i="19"/>
  <c r="V47" i="19"/>
  <c r="AB47" i="19"/>
  <c r="AH18" i="1"/>
  <c r="V37" i="19"/>
  <c r="J27" i="19"/>
  <c r="P7" i="19"/>
  <c r="V17" i="19"/>
  <c r="V7" i="19"/>
  <c r="AB27" i="19"/>
  <c r="P37" i="19"/>
  <c r="V27" i="19"/>
  <c r="AH47" i="19"/>
  <c r="P27" i="19"/>
  <c r="J47" i="19"/>
  <c r="AH11" i="19"/>
  <c r="AB41" i="19"/>
  <c r="V21" i="19"/>
  <c r="P31" i="19"/>
  <c r="AH42" i="1"/>
  <c r="AH41" i="19"/>
  <c r="V31" i="19"/>
  <c r="J51" i="19"/>
  <c r="P21" i="19"/>
  <c r="P41" i="19"/>
  <c r="P51" i="19"/>
  <c r="AH51" i="19"/>
  <c r="J21" i="19"/>
  <c r="V51" i="19"/>
  <c r="AH21" i="19"/>
  <c r="V11" i="19"/>
  <c r="AB31" i="19"/>
  <c r="V41" i="19"/>
  <c r="J11" i="19"/>
  <c r="AB21" i="19"/>
  <c r="P11" i="19"/>
  <c r="AB51" i="19"/>
  <c r="AH31" i="19"/>
  <c r="J41" i="19"/>
  <c r="J31" i="19"/>
  <c r="AB11" i="19"/>
  <c r="AG44" i="1"/>
  <c r="AF43" i="1"/>
  <c r="AF19" i="1"/>
  <c r="AG20" i="1"/>
  <c r="AF20" i="1" s="1"/>
  <c r="AC48" i="19"/>
  <c r="J12" i="19"/>
  <c r="J42" i="19"/>
  <c r="V12" i="19"/>
  <c r="J32" i="19"/>
  <c r="AH42" i="19"/>
  <c r="V52" i="19"/>
  <c r="AB52" i="19"/>
  <c r="V22" i="19"/>
  <c r="AB32" i="19"/>
  <c r="P22" i="19"/>
  <c r="V32" i="19"/>
  <c r="J52" i="19"/>
  <c r="AB42" i="19"/>
  <c r="P12" i="19"/>
  <c r="P42" i="19"/>
  <c r="AH12" i="19"/>
  <c r="V42" i="19"/>
  <c r="P52" i="19"/>
  <c r="AH48" i="1"/>
  <c r="J22" i="19"/>
  <c r="P32" i="19"/>
  <c r="AB12" i="19"/>
  <c r="AH32" i="19"/>
  <c r="AB22" i="19"/>
  <c r="AH52" i="19"/>
  <c r="AH22" i="19"/>
  <c r="AG50" i="1"/>
  <c r="AF49" i="1"/>
  <c r="L14" i="19" l="1"/>
  <c r="K39" i="19"/>
  <c r="AI29" i="19"/>
  <c r="K9" i="19"/>
  <c r="L54" i="19"/>
  <c r="AI20" i="19"/>
  <c r="Q10" i="19"/>
  <c r="W20" i="19"/>
  <c r="L34" i="19"/>
  <c r="X34" i="19"/>
  <c r="X14" i="19"/>
  <c r="R24" i="19"/>
  <c r="W30" i="19"/>
  <c r="W10" i="19"/>
  <c r="AI50" i="19"/>
  <c r="L24" i="19"/>
  <c r="AI40" i="19"/>
  <c r="AH37" i="1"/>
  <c r="K40" i="19"/>
  <c r="AD44" i="19"/>
  <c r="AI30" i="19"/>
  <c r="Q40" i="19"/>
  <c r="AC50" i="19"/>
  <c r="AI10" i="19"/>
  <c r="K50" i="19"/>
  <c r="K10" i="19"/>
  <c r="Q20" i="19"/>
  <c r="K20" i="19"/>
  <c r="AC20" i="19"/>
  <c r="AD34" i="19"/>
  <c r="R54" i="19"/>
  <c r="Q50" i="19"/>
  <c r="AC40" i="19"/>
  <c r="Q30" i="19"/>
  <c r="AC30" i="19"/>
  <c r="AC10" i="19"/>
  <c r="K30" i="19"/>
  <c r="W50" i="19"/>
  <c r="AD24" i="19"/>
  <c r="AH62" i="1"/>
  <c r="AJ24" i="19"/>
  <c r="AJ34" i="19"/>
  <c r="X24" i="19"/>
  <c r="R44" i="19"/>
  <c r="AF68" i="1"/>
  <c r="AH68" i="1" s="1"/>
  <c r="AG69" i="1"/>
  <c r="K49" i="19"/>
  <c r="Q29" i="19"/>
  <c r="K29" i="19"/>
  <c r="Q39" i="19"/>
  <c r="W39" i="19"/>
  <c r="Q19" i="19"/>
  <c r="Q49" i="19"/>
  <c r="AC39" i="19"/>
  <c r="AC19" i="19"/>
  <c r="AC9" i="19"/>
  <c r="AI9" i="19"/>
  <c r="W49" i="19"/>
  <c r="AI39" i="19"/>
  <c r="AC49" i="19"/>
  <c r="AC29" i="19"/>
  <c r="W19" i="19"/>
  <c r="L44" i="19"/>
  <c r="AI19" i="19"/>
  <c r="K19" i="19"/>
  <c r="Q9" i="19"/>
  <c r="R34" i="19"/>
  <c r="AD14" i="19"/>
  <c r="AC15" i="19"/>
  <c r="AC35" i="19"/>
  <c r="W55" i="19"/>
  <c r="AC45" i="19"/>
  <c r="W15" i="19"/>
  <c r="W25" i="19"/>
  <c r="K55" i="19"/>
  <c r="W35" i="19"/>
  <c r="AI15" i="19"/>
  <c r="Q45" i="19"/>
  <c r="K35" i="19"/>
  <c r="AI45" i="19"/>
  <c r="AI35" i="19"/>
  <c r="Q15" i="19"/>
  <c r="Q55" i="19"/>
  <c r="AC55" i="19"/>
  <c r="AI25" i="19"/>
  <c r="K15" i="19"/>
  <c r="Q25" i="19"/>
  <c r="K25" i="19"/>
  <c r="AC25" i="19"/>
  <c r="AI55" i="19"/>
  <c r="W45" i="19"/>
  <c r="K45" i="19"/>
  <c r="Q35" i="19"/>
  <c r="X44" i="19"/>
  <c r="AJ44" i="19"/>
  <c r="AJ14" i="19"/>
  <c r="X54" i="19"/>
  <c r="AD54" i="19"/>
  <c r="R14" i="19"/>
  <c r="AC18" i="19"/>
  <c r="AH25" i="1"/>
  <c r="AI48" i="19"/>
  <c r="K28" i="19"/>
  <c r="Q18" i="19"/>
  <c r="AI28" i="19"/>
  <c r="AC28" i="19"/>
  <c r="Q8" i="19"/>
  <c r="K38" i="19"/>
  <c r="K48" i="19"/>
  <c r="AC38" i="19"/>
  <c r="W28" i="19"/>
  <c r="Q38" i="19"/>
  <c r="W8" i="19"/>
  <c r="AI38" i="19"/>
  <c r="AI18" i="19"/>
  <c r="K8" i="19"/>
  <c r="W38" i="19"/>
  <c r="AI8" i="19"/>
  <c r="K18" i="19"/>
  <c r="Q48" i="19"/>
  <c r="AC8" i="19"/>
  <c r="W48" i="19"/>
  <c r="W18" i="19"/>
  <c r="X49" i="19"/>
  <c r="AJ19" i="19"/>
  <c r="AJ8" i="19"/>
  <c r="K24" i="19"/>
  <c r="AC14" i="19"/>
  <c r="W14" i="19"/>
  <c r="K14" i="19"/>
  <c r="K44" i="19"/>
  <c r="Q34" i="19"/>
  <c r="AC54" i="19"/>
  <c r="AC44" i="19"/>
  <c r="AC24" i="19"/>
  <c r="K34" i="19"/>
  <c r="W24" i="19"/>
  <c r="K54" i="19"/>
  <c r="AI34" i="19"/>
  <c r="AC34" i="19"/>
  <c r="W54" i="19"/>
  <c r="Q54" i="19"/>
  <c r="AI24" i="19"/>
  <c r="Q14" i="19"/>
  <c r="AI14" i="19"/>
  <c r="AH61" i="1"/>
  <c r="W44" i="19"/>
  <c r="AI44" i="19"/>
  <c r="Q44" i="19"/>
  <c r="Q24" i="19"/>
  <c r="AI54" i="19"/>
  <c r="W34" i="19"/>
  <c r="AD59" i="1"/>
  <c r="AE59" i="1"/>
  <c r="Q53" i="19"/>
  <c r="AG57" i="1"/>
  <c r="AF50" i="1"/>
  <c r="L52" i="19" s="1"/>
  <c r="AG51" i="1"/>
  <c r="AD52" i="1"/>
  <c r="AE52" i="1"/>
  <c r="AC53" i="1" s="1"/>
  <c r="L10" i="19"/>
  <c r="AJ20" i="19"/>
  <c r="X10" i="19"/>
  <c r="AJ50" i="19"/>
  <c r="AD20" i="19"/>
  <c r="R20" i="19"/>
  <c r="X50" i="19"/>
  <c r="L30" i="19"/>
  <c r="AJ10" i="19"/>
  <c r="X20" i="19"/>
  <c r="AD10" i="19"/>
  <c r="AJ40" i="19"/>
  <c r="AD50" i="19"/>
  <c r="AH38" i="1"/>
  <c r="L50" i="19"/>
  <c r="L40" i="19"/>
  <c r="R30" i="19"/>
  <c r="AJ30" i="19"/>
  <c r="X30" i="19"/>
  <c r="R50" i="19"/>
  <c r="AD40" i="19"/>
  <c r="X40" i="19"/>
  <c r="R10" i="19"/>
  <c r="L20" i="19"/>
  <c r="AD30" i="19"/>
  <c r="R40" i="19"/>
  <c r="R49" i="19"/>
  <c r="R19" i="19"/>
  <c r="X39" i="19"/>
  <c r="X29" i="19"/>
  <c r="AJ9" i="19"/>
  <c r="R29" i="19"/>
  <c r="R9" i="19"/>
  <c r="R39" i="19"/>
  <c r="AD9" i="19"/>
  <c r="L29" i="19"/>
  <c r="AD29" i="19"/>
  <c r="AJ29" i="19"/>
  <c r="AH32" i="1"/>
  <c r="AJ49" i="19"/>
  <c r="L19" i="19"/>
  <c r="X19" i="19"/>
  <c r="AJ39" i="19"/>
  <c r="X9" i="19"/>
  <c r="L9" i="19"/>
  <c r="AD39" i="19"/>
  <c r="L39" i="19"/>
  <c r="L49" i="19"/>
  <c r="AD49" i="19"/>
  <c r="AD38" i="19"/>
  <c r="R28" i="19"/>
  <c r="AD48" i="19"/>
  <c r="R18" i="19"/>
  <c r="X28" i="19"/>
  <c r="X18" i="19"/>
  <c r="X8" i="19"/>
  <c r="R38" i="19"/>
  <c r="AJ38" i="19"/>
  <c r="AJ28" i="19"/>
  <c r="AH26" i="1"/>
  <c r="AD8" i="19"/>
  <c r="AD28" i="19"/>
  <c r="X38" i="19"/>
  <c r="AJ18" i="19"/>
  <c r="L48" i="19"/>
  <c r="L38" i="19"/>
  <c r="L8" i="19"/>
  <c r="R8" i="19"/>
  <c r="R48" i="19"/>
  <c r="AJ48" i="19"/>
  <c r="X48" i="19"/>
  <c r="Y18" i="19"/>
  <c r="M48" i="19"/>
  <c r="M28" i="19"/>
  <c r="M18" i="19"/>
  <c r="AE8" i="19"/>
  <c r="AH27" i="1"/>
  <c r="S18" i="19"/>
  <c r="M8" i="19"/>
  <c r="S38" i="19"/>
  <c r="AK8" i="19"/>
  <c r="AE38" i="19"/>
  <c r="AK38" i="19"/>
  <c r="AE18" i="19"/>
  <c r="M38" i="19"/>
  <c r="AK28" i="19"/>
  <c r="Y38" i="19"/>
  <c r="Y48" i="19"/>
  <c r="AK18" i="19"/>
  <c r="Y8" i="19"/>
  <c r="Y28" i="19"/>
  <c r="S8" i="19"/>
  <c r="S28" i="19"/>
  <c r="AK48" i="19"/>
  <c r="AE48" i="19"/>
  <c r="S48" i="19"/>
  <c r="AE28" i="19"/>
  <c r="L18" i="19"/>
  <c r="AD18" i="19"/>
  <c r="AF14" i="1"/>
  <c r="AH14" i="1" s="1"/>
  <c r="AG15" i="1"/>
  <c r="AD16" i="1"/>
  <c r="AE16" i="1"/>
  <c r="AH55" i="1"/>
  <c r="Q13" i="19"/>
  <c r="AC23" i="19"/>
  <c r="AC53" i="19"/>
  <c r="W23" i="19"/>
  <c r="W33" i="19"/>
  <c r="AI53" i="19"/>
  <c r="AC13" i="19"/>
  <c r="Q23" i="19"/>
  <c r="AI33" i="19"/>
  <c r="K43" i="19"/>
  <c r="AI23" i="19"/>
  <c r="W13" i="19"/>
  <c r="K33" i="19"/>
  <c r="Q43" i="19"/>
  <c r="AI13" i="19"/>
  <c r="K23" i="19"/>
  <c r="AI43" i="19"/>
  <c r="W43" i="19"/>
  <c r="W53" i="19"/>
  <c r="AC33" i="19"/>
  <c r="K53" i="19"/>
  <c r="K13" i="19"/>
  <c r="AC43" i="19"/>
  <c r="X13" i="19"/>
  <c r="X33" i="19"/>
  <c r="R33" i="19"/>
  <c r="R43" i="19"/>
  <c r="R23" i="19"/>
  <c r="AD53" i="19"/>
  <c r="R53" i="19"/>
  <c r="AJ43" i="19"/>
  <c r="X53" i="19"/>
  <c r="L33" i="19"/>
  <c r="AJ13" i="19"/>
  <c r="R13" i="19"/>
  <c r="X23" i="19"/>
  <c r="L23" i="19"/>
  <c r="AD13" i="19"/>
  <c r="AD33" i="19"/>
  <c r="AD43" i="19"/>
  <c r="AD23" i="19"/>
  <c r="L43" i="19"/>
  <c r="L13" i="19"/>
  <c r="AJ23" i="19"/>
  <c r="AJ53" i="19"/>
  <c r="AJ33" i="19"/>
  <c r="L53" i="19"/>
  <c r="AH56" i="1"/>
  <c r="X43" i="19"/>
  <c r="Q32" i="19"/>
  <c r="AI42" i="19"/>
  <c r="AH49" i="1"/>
  <c r="AI12" i="19"/>
  <c r="W32" i="19"/>
  <c r="K32" i="19"/>
  <c r="W42" i="19"/>
  <c r="K12" i="19"/>
  <c r="AC12" i="19"/>
  <c r="AI52" i="19"/>
  <c r="Q22" i="19"/>
  <c r="Q12" i="19"/>
  <c r="K22" i="19"/>
  <c r="W52" i="19"/>
  <c r="Q52" i="19"/>
  <c r="AI32" i="19"/>
  <c r="K42" i="19"/>
  <c r="W22" i="19"/>
  <c r="AC32" i="19"/>
  <c r="K52" i="19"/>
  <c r="AC52" i="19"/>
  <c r="AC22" i="19"/>
  <c r="Q42" i="19"/>
  <c r="AC42" i="19"/>
  <c r="AI22" i="19"/>
  <c r="W12" i="19"/>
  <c r="AJ6" i="19"/>
  <c r="K6" i="19"/>
  <c r="W36" i="19"/>
  <c r="W6" i="19"/>
  <c r="K16" i="19"/>
  <c r="K36" i="19"/>
  <c r="Q16" i="19"/>
  <c r="W26" i="19"/>
  <c r="K26" i="19"/>
  <c r="AI26" i="19"/>
  <c r="AI6" i="19"/>
  <c r="Q36" i="19"/>
  <c r="AI16" i="19"/>
  <c r="W16" i="19"/>
  <c r="W46" i="19"/>
  <c r="AI36" i="19"/>
  <c r="AC46" i="19"/>
  <c r="Q6" i="19"/>
  <c r="K46" i="19"/>
  <c r="AC36" i="19"/>
  <c r="Q46" i="19"/>
  <c r="AH13" i="1"/>
  <c r="AC16" i="19"/>
  <c r="AI46" i="19"/>
  <c r="AC6" i="19"/>
  <c r="Q26" i="19"/>
  <c r="AC26" i="19"/>
  <c r="W37" i="19"/>
  <c r="K37" i="19"/>
  <c r="AI7" i="19"/>
  <c r="AC7" i="19"/>
  <c r="AC37" i="19"/>
  <c r="Q37" i="19"/>
  <c r="AI27" i="19"/>
  <c r="AC47" i="19"/>
  <c r="W47" i="19"/>
  <c r="Q17" i="19"/>
  <c r="Q27" i="19"/>
  <c r="Q7" i="19"/>
  <c r="K7" i="19"/>
  <c r="W27" i="19"/>
  <c r="K47" i="19"/>
  <c r="AC27" i="19"/>
  <c r="AI47" i="19"/>
  <c r="W17" i="19"/>
  <c r="K27" i="19"/>
  <c r="W7" i="19"/>
  <c r="AI37" i="19"/>
  <c r="K17" i="19"/>
  <c r="AI17" i="19"/>
  <c r="AH19" i="1"/>
  <c r="AC17" i="19"/>
  <c r="Q47" i="19"/>
  <c r="AJ17" i="19"/>
  <c r="L47" i="19"/>
  <c r="R27" i="19"/>
  <c r="AJ37" i="19"/>
  <c r="AJ7" i="19"/>
  <c r="X17" i="19"/>
  <c r="X37" i="19"/>
  <c r="AD37" i="19"/>
  <c r="L7" i="19"/>
  <c r="L37" i="19"/>
  <c r="R47" i="19"/>
  <c r="AD47" i="19"/>
  <c r="AD27" i="19"/>
  <c r="R37" i="19"/>
  <c r="X27" i="19"/>
  <c r="R17" i="19"/>
  <c r="X7" i="19"/>
  <c r="L27" i="19"/>
  <c r="AH20" i="1"/>
  <c r="R7" i="19"/>
  <c r="AJ47" i="19"/>
  <c r="L17" i="19"/>
  <c r="AD7" i="19"/>
  <c r="AJ27" i="19"/>
  <c r="X47" i="19"/>
  <c r="AD17" i="19"/>
  <c r="W31" i="19"/>
  <c r="Q51" i="19"/>
  <c r="W21" i="19"/>
  <c r="Q11" i="19"/>
  <c r="W51" i="19"/>
  <c r="AI31" i="19"/>
  <c r="Q21" i="19"/>
  <c r="AC41" i="19"/>
  <c r="AI41" i="19"/>
  <c r="K51" i="19"/>
  <c r="K41" i="19"/>
  <c r="K21" i="19"/>
  <c r="Q31" i="19"/>
  <c r="AI51" i="19"/>
  <c r="AC11" i="19"/>
  <c r="Q41" i="19"/>
  <c r="AC21" i="19"/>
  <c r="AI11" i="19"/>
  <c r="W11" i="19"/>
  <c r="W41" i="19"/>
  <c r="K31" i="19"/>
  <c r="AC51" i="19"/>
  <c r="AH43" i="1"/>
  <c r="AC31" i="19"/>
  <c r="AI21" i="19"/>
  <c r="K11" i="19"/>
  <c r="AF44" i="1"/>
  <c r="AG45" i="1"/>
  <c r="R42" i="19" l="1"/>
  <c r="AD32" i="19"/>
  <c r="X16" i="19"/>
  <c r="AF69" i="1"/>
  <c r="AH69" i="1" s="1"/>
  <c r="AG70" i="1"/>
  <c r="AF70" i="1" s="1"/>
  <c r="AH70" i="1" s="1"/>
  <c r="R52" i="19"/>
  <c r="AJ22" i="19"/>
  <c r="AJ52" i="19"/>
  <c r="X52" i="19"/>
  <c r="L32" i="19"/>
  <c r="X25" i="19"/>
  <c r="AD45" i="19"/>
  <c r="R15" i="19"/>
  <c r="X45" i="19"/>
  <c r="R45" i="19"/>
  <c r="AD35" i="19"/>
  <c r="L35" i="19"/>
  <c r="AD55" i="19"/>
  <c r="AJ55" i="19"/>
  <c r="R35" i="19"/>
  <c r="X15" i="19"/>
  <c r="X55" i="19"/>
  <c r="L45" i="19"/>
  <c r="AJ15" i="19"/>
  <c r="L25" i="19"/>
  <c r="AD25" i="19"/>
  <c r="R25" i="19"/>
  <c r="L15" i="19"/>
  <c r="AJ45" i="19"/>
  <c r="AJ35" i="19"/>
  <c r="AD15" i="19"/>
  <c r="AJ25" i="19"/>
  <c r="X35" i="19"/>
  <c r="L55" i="19"/>
  <c r="R55" i="19"/>
  <c r="X22" i="19"/>
  <c r="R22" i="19"/>
  <c r="AD42" i="19"/>
  <c r="AD12" i="19"/>
  <c r="X42" i="19"/>
  <c r="R12" i="19"/>
  <c r="X32" i="19"/>
  <c r="AJ32" i="19"/>
  <c r="L22" i="19"/>
  <c r="L12" i="19"/>
  <c r="L42" i="19"/>
  <c r="AJ42" i="19"/>
  <c r="AD22" i="19"/>
  <c r="X12" i="19"/>
  <c r="R32" i="19"/>
  <c r="AH50" i="1"/>
  <c r="AD52" i="19"/>
  <c r="AJ12" i="19"/>
  <c r="AD26" i="19"/>
  <c r="AD6" i="19"/>
  <c r="R6" i="19"/>
  <c r="R46" i="19"/>
  <c r="AD46" i="19"/>
  <c r="X6" i="19"/>
  <c r="R36" i="19"/>
  <c r="X36" i="19"/>
  <c r="R16" i="19"/>
  <c r="AJ26" i="19"/>
  <c r="AF57" i="1"/>
  <c r="AG58" i="1"/>
  <c r="AD53" i="1"/>
  <c r="AE53" i="1"/>
  <c r="AF51" i="1"/>
  <c r="AG52" i="1"/>
  <c r="AF52" i="1" s="1"/>
  <c r="AF12" i="19" s="1"/>
  <c r="AG53" i="1"/>
  <c r="AF53" i="1" s="1"/>
  <c r="R26" i="19"/>
  <c r="AD36" i="19"/>
  <c r="AJ46" i="19"/>
  <c r="AJ16" i="19"/>
  <c r="X46" i="19"/>
  <c r="L6" i="19"/>
  <c r="AD16" i="19"/>
  <c r="L26" i="19"/>
  <c r="L36" i="19"/>
  <c r="L16" i="19"/>
  <c r="AJ36" i="19"/>
  <c r="L46" i="19"/>
  <c r="X26" i="19"/>
  <c r="AF15" i="1"/>
  <c r="AG16" i="1"/>
  <c r="AF16" i="1" s="1"/>
  <c r="AH16" i="1" s="1"/>
  <c r="AF45" i="1"/>
  <c r="AG46" i="1"/>
  <c r="AF46" i="1" s="1"/>
  <c r="AJ11" i="19"/>
  <c r="AD51" i="19"/>
  <c r="AD31" i="19"/>
  <c r="X51" i="19"/>
  <c r="L31" i="19"/>
  <c r="X21" i="19"/>
  <c r="L41" i="19"/>
  <c r="L21" i="19"/>
  <c r="X11" i="19"/>
  <c r="X41" i="19"/>
  <c r="AJ41" i="19"/>
  <c r="R51" i="19"/>
  <c r="AJ51" i="19"/>
  <c r="R41" i="19"/>
  <c r="L51" i="19"/>
  <c r="R11" i="19"/>
  <c r="AJ21" i="19"/>
  <c r="R21" i="19"/>
  <c r="AJ31" i="19"/>
  <c r="AD11" i="19"/>
  <c r="L11" i="19"/>
  <c r="X31" i="19"/>
  <c r="R31" i="19"/>
  <c r="AD21" i="19"/>
  <c r="AD41" i="19"/>
  <c r="AH44" i="1"/>
  <c r="AF55" i="19" l="1"/>
  <c r="T15" i="19"/>
  <c r="AF25" i="19"/>
  <c r="AL35" i="19"/>
  <c r="T25" i="19"/>
  <c r="AL15" i="19"/>
  <c r="Z25" i="19"/>
  <c r="N55" i="19"/>
  <c r="Z15" i="19"/>
  <c r="N45" i="19"/>
  <c r="AF35" i="19"/>
  <c r="AL25" i="19"/>
  <c r="Z55" i="19"/>
  <c r="N25" i="19"/>
  <c r="N15" i="19"/>
  <c r="N35" i="19"/>
  <c r="T55" i="19"/>
  <c r="T35" i="19"/>
  <c r="T45" i="19"/>
  <c r="Z45" i="19"/>
  <c r="AL55" i="19"/>
  <c r="AL45" i="19"/>
  <c r="Z35" i="19"/>
  <c r="AF45" i="19"/>
  <c r="AF15" i="19"/>
  <c r="AE25" i="19"/>
  <c r="Y25" i="19"/>
  <c r="S45" i="19"/>
  <c r="AK35" i="19"/>
  <c r="AE35" i="19"/>
  <c r="AE15" i="19"/>
  <c r="M35" i="19"/>
  <c r="S25" i="19"/>
  <c r="M25" i="19"/>
  <c r="AK25" i="19"/>
  <c r="Y45" i="19"/>
  <c r="AK45" i="19"/>
  <c r="M45" i="19"/>
  <c r="M15" i="19"/>
  <c r="S15" i="19"/>
  <c r="AK55" i="19"/>
  <c r="S35" i="19"/>
  <c r="Y35" i="19"/>
  <c r="AE55" i="19"/>
  <c r="AE45" i="19"/>
  <c r="Y55" i="19"/>
  <c r="M55" i="19"/>
  <c r="S55" i="19"/>
  <c r="Y15" i="19"/>
  <c r="AK15" i="19"/>
  <c r="AF58" i="1"/>
  <c r="AG59" i="1"/>
  <c r="AF59" i="1" s="1"/>
  <c r="AE13" i="19"/>
  <c r="AE33" i="19"/>
  <c r="S23" i="19"/>
  <c r="AE53" i="19"/>
  <c r="AK33" i="19"/>
  <c r="Y23" i="19"/>
  <c r="M13" i="19"/>
  <c r="AK53" i="19"/>
  <c r="AK43" i="19"/>
  <c r="M43" i="19"/>
  <c r="S33" i="19"/>
  <c r="Y13" i="19"/>
  <c r="S43" i="19"/>
  <c r="S53" i="19"/>
  <c r="M23" i="19"/>
  <c r="AH57" i="1"/>
  <c r="AK13" i="19"/>
  <c r="Y43" i="19"/>
  <c r="M33" i="19"/>
  <c r="AE43" i="19"/>
  <c r="M53" i="19"/>
  <c r="AE23" i="19"/>
  <c r="Y53" i="19"/>
  <c r="Y33" i="19"/>
  <c r="S13" i="19"/>
  <c r="AK23" i="19"/>
  <c r="N52" i="19"/>
  <c r="N42" i="19"/>
  <c r="AE12" i="19"/>
  <c r="Y42" i="19"/>
  <c r="Y12" i="19"/>
  <c r="Y22" i="19"/>
  <c r="AE22" i="19"/>
  <c r="AK52" i="19"/>
  <c r="Y32" i="19"/>
  <c r="AK22" i="19"/>
  <c r="M52" i="19"/>
  <c r="M12" i="19"/>
  <c r="M32" i="19"/>
  <c r="Y52" i="19"/>
  <c r="S52" i="19"/>
  <c r="S42" i="19"/>
  <c r="AE42" i="19"/>
  <c r="AE52" i="19"/>
  <c r="M42" i="19"/>
  <c r="AK12" i="19"/>
  <c r="AH51" i="1"/>
  <c r="S12" i="19"/>
  <c r="AK42" i="19"/>
  <c r="S32" i="19"/>
  <c r="AE32" i="19"/>
  <c r="M22" i="19"/>
  <c r="S22" i="19"/>
  <c r="AK32" i="19"/>
  <c r="AH52" i="1"/>
  <c r="AL22" i="19"/>
  <c r="AF22" i="19"/>
  <c r="AF52" i="19"/>
  <c r="AF42" i="19"/>
  <c r="T22" i="19"/>
  <c r="T12" i="19"/>
  <c r="Z22" i="19"/>
  <c r="AL32" i="19"/>
  <c r="AL52" i="19"/>
  <c r="N12" i="19"/>
  <c r="T32" i="19"/>
  <c r="T52" i="19"/>
  <c r="Z32" i="19"/>
  <c r="N22" i="19"/>
  <c r="AL42" i="19"/>
  <c r="AF32" i="19"/>
  <c r="AL12" i="19"/>
  <c r="Z12" i="19"/>
  <c r="N32" i="19"/>
  <c r="Z52" i="19"/>
  <c r="T42" i="19"/>
  <c r="Z42" i="19"/>
  <c r="AG22" i="19"/>
  <c r="U22" i="19"/>
  <c r="AA22" i="19"/>
  <c r="AG12" i="19"/>
  <c r="AG52" i="19"/>
  <c r="AG32" i="19"/>
  <c r="AA32" i="19"/>
  <c r="O22" i="19"/>
  <c r="O32" i="19"/>
  <c r="AM32" i="19"/>
  <c r="AM52" i="19"/>
  <c r="AA42" i="19"/>
  <c r="AM22" i="19"/>
  <c r="AH53" i="1"/>
  <c r="O42" i="19"/>
  <c r="AA52" i="19"/>
  <c r="AG42" i="19"/>
  <c r="AM12" i="19"/>
  <c r="U12" i="19"/>
  <c r="O12" i="19"/>
  <c r="U42" i="19"/>
  <c r="O52" i="19"/>
  <c r="AM42" i="19"/>
  <c r="U32" i="19"/>
  <c r="AA12" i="19"/>
  <c r="U52" i="19"/>
  <c r="Z26" i="19"/>
  <c r="T6" i="19"/>
  <c r="AE46" i="19"/>
  <c r="AE6" i="19"/>
  <c r="AE36" i="19"/>
  <c r="Y16" i="19"/>
  <c r="S46" i="19"/>
  <c r="S36" i="19"/>
  <c r="AE16" i="19"/>
  <c r="M16" i="19"/>
  <c r="Y36" i="19"/>
  <c r="AH15" i="1"/>
  <c r="S6" i="19"/>
  <c r="M6" i="19"/>
  <c r="M36" i="19"/>
  <c r="Y46" i="19"/>
  <c r="Y26" i="19"/>
  <c r="AK36" i="19"/>
  <c r="Y6" i="19"/>
  <c r="AK46" i="19"/>
  <c r="AE26" i="19"/>
  <c r="AK16" i="19"/>
  <c r="S26" i="19"/>
  <c r="AK6" i="19"/>
  <c r="M46" i="19"/>
  <c r="AK26" i="19"/>
  <c r="M26" i="19"/>
  <c r="S16" i="19"/>
  <c r="AF26" i="19"/>
  <c r="T16" i="19"/>
  <c r="AF46" i="19"/>
  <c r="AL16" i="19"/>
  <c r="AF6" i="19"/>
  <c r="Z6" i="19"/>
  <c r="Z16" i="19"/>
  <c r="AF16" i="19"/>
  <c r="T36" i="19"/>
  <c r="N16" i="19"/>
  <c r="AL26" i="19"/>
  <c r="T26" i="19"/>
  <c r="AF36" i="19"/>
  <c r="Z46" i="19"/>
  <c r="AL6" i="19"/>
  <c r="N36" i="19"/>
  <c r="AL46" i="19"/>
  <c r="AL36" i="19"/>
  <c r="N26" i="19"/>
  <c r="N6" i="19"/>
  <c r="T46" i="19"/>
  <c r="Z36" i="19"/>
  <c r="N46" i="19"/>
  <c r="AL31" i="19"/>
  <c r="Z21" i="19"/>
  <c r="N11" i="19"/>
  <c r="AL41" i="19"/>
  <c r="T41" i="19"/>
  <c r="AH46" i="1"/>
  <c r="AF31" i="19"/>
  <c r="AL11" i="19"/>
  <c r="AL51" i="19"/>
  <c r="T31" i="19"/>
  <c r="N21" i="19"/>
  <c r="AF51" i="19"/>
  <c r="T21" i="19"/>
  <c r="Z41" i="19"/>
  <c r="AF21" i="19"/>
  <c r="AL21" i="19"/>
  <c r="AF41" i="19"/>
  <c r="T11" i="19"/>
  <c r="Z51" i="19"/>
  <c r="Z31" i="19"/>
  <c r="N31" i="19"/>
  <c r="N51" i="19"/>
  <c r="AF11" i="19"/>
  <c r="N41" i="19"/>
  <c r="Z11" i="19"/>
  <c r="T51" i="19"/>
  <c r="AK31" i="19"/>
  <c r="AK41" i="19"/>
  <c r="Y41" i="19"/>
  <c r="AK11" i="19"/>
  <c r="AE31" i="19"/>
  <c r="AE41" i="19"/>
  <c r="M31" i="19"/>
  <c r="S51" i="19"/>
  <c r="S41" i="19"/>
  <c r="S11" i="19"/>
  <c r="Y11" i="19"/>
  <c r="S31" i="19"/>
  <c r="AE11" i="19"/>
  <c r="Y21" i="19"/>
  <c r="M11" i="19"/>
  <c r="Y31" i="19"/>
  <c r="Y51" i="19"/>
  <c r="AK21" i="19"/>
  <c r="AK51" i="19"/>
  <c r="AH45" i="1"/>
  <c r="AE21" i="19"/>
  <c r="M51" i="19"/>
  <c r="M41" i="19"/>
  <c r="M21" i="19"/>
  <c r="AE51" i="19"/>
  <c r="S21" i="19"/>
  <c r="U23" i="19" l="1"/>
  <c r="AG53" i="19"/>
  <c r="U33" i="19"/>
  <c r="O23" i="19"/>
  <c r="AM33" i="19"/>
  <c r="AH59" i="1"/>
  <c r="AG13" i="19"/>
  <c r="U43" i="19"/>
  <c r="O43" i="19"/>
  <c r="AG43" i="19"/>
  <c r="O33" i="19"/>
  <c r="AM53" i="19"/>
  <c r="AM43" i="19"/>
  <c r="U13" i="19"/>
  <c r="AG23" i="19"/>
  <c r="AM23" i="19"/>
  <c r="AA13" i="19"/>
  <c r="U53" i="19"/>
  <c r="AA53" i="19"/>
  <c r="AM13" i="19"/>
  <c r="AA23" i="19"/>
  <c r="AA33" i="19"/>
  <c r="AA43" i="19"/>
  <c r="O13" i="19"/>
  <c r="O53" i="19"/>
  <c r="AG33" i="19"/>
  <c r="AF33" i="19"/>
  <c r="N13" i="19"/>
  <c r="AF43" i="19"/>
  <c r="AF23" i="19"/>
  <c r="AL33" i="19"/>
  <c r="AF53" i="19"/>
  <c r="Z43" i="19"/>
  <c r="Z53" i="19"/>
  <c r="T43" i="19"/>
  <c r="Z33" i="19"/>
  <c r="AF13" i="19"/>
  <c r="AH58" i="1"/>
  <c r="T23" i="19"/>
  <c r="Z23" i="19"/>
  <c r="T33" i="19"/>
  <c r="T53" i="19"/>
  <c r="N23" i="19"/>
  <c r="Z13" i="19"/>
  <c r="AL43" i="19"/>
  <c r="T13" i="19"/>
  <c r="N43" i="19"/>
  <c r="AL53" i="19"/>
  <c r="N53" i="19"/>
  <c r="AL23" i="19"/>
  <c r="AL13" i="19"/>
  <c r="N33"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PD. Julio Cesar Salgado Guerrero</author>
    <author>SMSM. Sandra Gabriela Ramos Perdomo</author>
  </authors>
  <commentList>
    <comment ref="L12" authorId="0" shapeId="0" xr:uid="{38DAE36C-3346-4108-BA50-416029F8DEA8}">
      <text>
        <r>
          <rPr>
            <b/>
            <sz val="9"/>
            <color indexed="81"/>
            <rFont val="Tahoma"/>
            <family val="2"/>
          </rPr>
          <t>Se toma los 187 establecimientos de sanidad militar y la Disanes en las que liquidan nomina,y  se multiplica por los 12 meses del año.</t>
        </r>
      </text>
    </comment>
    <comment ref="L18" authorId="0" shapeId="0" xr:uid="{56BB7BB2-EE67-41FC-B058-40BED8DDF4B2}">
      <text>
        <r>
          <rPr>
            <b/>
            <sz val="9"/>
            <color indexed="81"/>
            <rFont val="Tahoma"/>
            <family val="2"/>
          </rPr>
          <t xml:space="preserve">promedio de incapacidades mensuales por 12 meses, 190 X 12
</t>
        </r>
      </text>
    </comment>
    <comment ref="L24" authorId="0" shapeId="0" xr:uid="{795E102E-8B81-47FC-9741-DD2699536EB0}">
      <text>
        <r>
          <rPr>
            <b/>
            <sz val="9"/>
            <color indexed="81"/>
            <rFont val="Tahoma"/>
            <family val="2"/>
          </rPr>
          <t>Promedio de empleados 1000 por 12 meses</t>
        </r>
        <r>
          <rPr>
            <sz val="9"/>
            <color indexed="81"/>
            <rFont val="Tahoma"/>
            <family val="2"/>
          </rPr>
          <t xml:space="preserve">
</t>
        </r>
      </text>
    </comment>
    <comment ref="L30" authorId="0" shapeId="0" xr:uid="{ED46EA3B-6B7B-4E1B-B5EC-1D696BF04DCB}">
      <text>
        <r>
          <rPr>
            <b/>
            <sz val="9"/>
            <color indexed="81"/>
            <rFont val="Tahoma"/>
            <family val="2"/>
          </rPr>
          <t>Numero de Contratistas y funcionarios coordinadores y lideres de area.</t>
        </r>
        <r>
          <rPr>
            <sz val="9"/>
            <color indexed="81"/>
            <rFont val="Tahoma"/>
            <family val="2"/>
          </rPr>
          <t xml:space="preserve">
</t>
        </r>
      </text>
    </comment>
    <comment ref="L36" authorId="0" shapeId="0" xr:uid="{051517AC-D3EF-428A-8EDA-B0F23F9A2761}">
      <text>
        <r>
          <rPr>
            <b/>
            <sz val="9"/>
            <color indexed="81"/>
            <rFont val="Tahoma"/>
            <family val="2"/>
          </rPr>
          <t>Numero de cargos provistos según plan anual de provisión.</t>
        </r>
        <r>
          <rPr>
            <sz val="9"/>
            <color indexed="81"/>
            <rFont val="Tahoma"/>
            <family val="2"/>
          </rPr>
          <t xml:space="preserve">
</t>
        </r>
      </text>
    </comment>
    <comment ref="L42" authorId="0" shapeId="0" xr:uid="{EB9A041C-633E-4CBF-ABE1-1598D7A230B3}">
      <text>
        <r>
          <rPr>
            <b/>
            <sz val="9"/>
            <color indexed="81"/>
            <rFont val="Tahoma"/>
            <family val="2"/>
          </rPr>
          <t>Promedio de retiros del mes x 12 meses</t>
        </r>
        <r>
          <rPr>
            <sz val="9"/>
            <color indexed="81"/>
            <rFont val="Tahoma"/>
            <family val="2"/>
          </rPr>
          <t xml:space="preserve">
</t>
        </r>
      </text>
    </comment>
    <comment ref="L54" authorId="0" shapeId="0" xr:uid="{A3490AF7-0E03-4721-A0AF-B3876AB02616}">
      <text>
        <r>
          <rPr>
            <b/>
            <sz val="9"/>
            <color indexed="81"/>
            <rFont val="Tahoma"/>
            <family val="2"/>
          </rPr>
          <t>Numero total de cargos de libre nombramiento y provisió, administrativo, directivos.</t>
        </r>
      </text>
    </comment>
    <comment ref="L60" authorId="0" shapeId="0" xr:uid="{97032A86-4B3A-4005-A735-6747D6A02695}">
      <text>
        <r>
          <rPr>
            <b/>
            <sz val="9"/>
            <color indexed="81"/>
            <rFont val="Tahoma"/>
            <family val="2"/>
          </rPr>
          <t>Numero de cargos:  Coordinadores, Supervisores de contratos y lideres, integrantes de comites.</t>
        </r>
      </text>
    </comment>
    <comment ref="L66" authorId="0" shapeId="0" xr:uid="{D6917888-384E-439D-85C3-E5060FD4B70A}">
      <text>
        <r>
          <rPr>
            <b/>
            <sz val="9"/>
            <color indexed="81"/>
            <rFont val="Tahoma"/>
            <family val="2"/>
          </rPr>
          <t>Frecuencia de ingreso de los gestores documentales area de archivo de getión y central.</t>
        </r>
        <r>
          <rPr>
            <sz val="9"/>
            <color indexed="81"/>
            <rFont val="Tahoma"/>
            <family val="2"/>
          </rPr>
          <t xml:space="preserve">
</t>
        </r>
      </text>
    </comment>
    <comment ref="L76" authorId="0" shapeId="0" xr:uid="{664215A2-0307-467A-8177-3CA1B2A79F63}">
      <text>
        <r>
          <rPr>
            <b/>
            <sz val="9"/>
            <color indexed="81"/>
            <rFont val="Tahoma"/>
            <family val="2"/>
          </rPr>
          <t>Este cálculo se realiza teniendo cuenta el promedio de 3600 PQRSD mensuales x 12 meses</t>
        </r>
        <r>
          <rPr>
            <sz val="9"/>
            <color indexed="81"/>
            <rFont val="Tahoma"/>
            <family val="2"/>
          </rPr>
          <t xml:space="preserve">
</t>
        </r>
      </text>
    </comment>
    <comment ref="L82" authorId="1" shapeId="0" xr:uid="{0440F6EE-5DB2-480A-A7F3-2D270167F749}">
      <text>
        <r>
          <rPr>
            <b/>
            <sz val="9"/>
            <color indexed="81"/>
            <rFont val="Tahoma"/>
            <family val="2"/>
          </rPr>
          <t>Se toma como base el numero de afiliados y beneficiarios al SSFM</t>
        </r>
        <r>
          <rPr>
            <sz val="9"/>
            <color indexed="81"/>
            <rFont val="Tahoma"/>
            <family val="2"/>
          </rPr>
          <t xml:space="preserve">
</t>
        </r>
      </text>
    </comment>
    <comment ref="L88" authorId="0" shapeId="0" xr:uid="{17EC2910-E1E8-4AC0-B0A5-AA770522C969}">
      <text>
        <r>
          <rPr>
            <b/>
            <sz val="9"/>
            <color indexed="81"/>
            <rFont val="Tahoma"/>
            <family val="2"/>
          </rPr>
          <t xml:space="preserve">Promedio de productos programados y cargados en el Sistema de información Flujo de Información - Calendarización 2023
</t>
        </r>
        <r>
          <rPr>
            <sz val="9"/>
            <color indexed="81"/>
            <rFont val="Tahoma"/>
            <family val="2"/>
          </rPr>
          <t xml:space="preserve">
</t>
        </r>
      </text>
    </comment>
    <comment ref="L97" authorId="0" shapeId="0" xr:uid="{65850104-84A1-4075-99B5-D9D081255752}">
      <text>
        <r>
          <rPr>
            <b/>
            <sz val="9"/>
            <color indexed="81"/>
            <rFont val="Tahoma"/>
            <family val="2"/>
          </rPr>
          <t>Corresponde a los movimientos mensuales durante el año promedio 12 mensual.</t>
        </r>
        <r>
          <rPr>
            <sz val="9"/>
            <color indexed="81"/>
            <rFont val="Tahoma"/>
            <family val="2"/>
          </rPr>
          <t xml:space="preserve">
</t>
        </r>
      </text>
    </comment>
    <comment ref="L111" authorId="0" shapeId="0" xr:uid="{FB5CD312-1065-41EA-837E-9710755C7C15}">
      <text>
        <r>
          <rPr>
            <b/>
            <sz val="9"/>
            <color indexed="81"/>
            <rFont val="Tahoma"/>
            <family val="2"/>
          </rPr>
          <t>Se toma a la atención presencial de usuarios del año 2022</t>
        </r>
      </text>
    </comment>
    <comment ref="L123" authorId="0" shapeId="0" xr:uid="{4A11F08F-7F76-4E3E-9342-571D918C397B}">
      <text>
        <r>
          <rPr>
            <b/>
            <sz val="9"/>
            <color indexed="81"/>
            <rFont val="Tahoma"/>
            <family val="2"/>
          </rPr>
          <t>Se toma como base la población afiliada al SSFM.</t>
        </r>
      </text>
    </comment>
    <comment ref="L135" authorId="0" shapeId="0" xr:uid="{B82A459A-9F44-4E08-AE88-615DDABC2A52}">
      <text>
        <r>
          <rPr>
            <b/>
            <sz val="9"/>
            <color indexed="81"/>
            <rFont val="Arial"/>
            <family val="2"/>
          </rPr>
          <t>Se toma el total de pesonal militar activo que desarrolla actividades operaciones con corte a junio 2023</t>
        </r>
        <r>
          <rPr>
            <b/>
            <sz val="9"/>
            <color indexed="81"/>
            <rFont val="Tahoma"/>
            <family val="2"/>
          </rPr>
          <t xml:space="preserve">
</t>
        </r>
      </text>
    </comment>
    <comment ref="L141" authorId="0" shapeId="0" xr:uid="{C9F70DC5-383D-4C40-8D23-281C86BA0108}">
      <text>
        <r>
          <rPr>
            <b/>
            <sz val="9"/>
            <color indexed="81"/>
            <rFont val="Tahoma"/>
            <family val="2"/>
          </rPr>
          <t>Se toma el total de pesonal militar activo que desarrolla actividades operaciones con corte a junio 2023</t>
        </r>
        <r>
          <rPr>
            <sz val="9"/>
            <color indexed="81"/>
            <rFont val="Tahoma"/>
            <family val="2"/>
          </rPr>
          <t xml:space="preserve">
</t>
        </r>
      </text>
    </comment>
    <comment ref="L183" authorId="0" shapeId="0" xr:uid="{0E6AD0FC-E798-455B-98FE-E3F595F78B94}">
      <text>
        <r>
          <rPr>
            <b/>
            <sz val="9"/>
            <color indexed="81"/>
            <rFont val="Tahoma"/>
            <family val="2"/>
          </rPr>
          <t xml:space="preserve">Periodicidad de pago Anual.
</t>
        </r>
        <r>
          <rPr>
            <sz val="9"/>
            <color indexed="81"/>
            <rFont val="Tahoma"/>
            <family val="2"/>
          </rPr>
          <t xml:space="preserve">
</t>
        </r>
      </text>
    </comment>
    <comment ref="L243" authorId="0" shapeId="0" xr:uid="{25D9640F-6955-46C9-9A8A-7C1ED167C872}">
      <text>
        <r>
          <rPr>
            <sz val="9"/>
            <color indexed="81"/>
            <rFont val="Tahoma"/>
            <family val="2"/>
          </rPr>
          <t xml:space="preserve">Promedio de publicaciones mensuales 160 x 12 meses
</t>
        </r>
      </text>
    </comment>
    <comment ref="L249" authorId="0" shapeId="0" xr:uid="{24F5161F-1B04-428B-B8D2-C160E7054B91}">
      <text>
        <r>
          <rPr>
            <b/>
            <sz val="9"/>
            <color indexed="81"/>
            <rFont val="Tahoma"/>
            <family val="2"/>
          </rPr>
          <t xml:space="preserve">Disponiblidad de la infraestructura durante el año 24 horas x 365 dias
</t>
        </r>
        <r>
          <rPr>
            <sz val="9"/>
            <color indexed="81"/>
            <rFont val="Tahoma"/>
            <family val="2"/>
          </rPr>
          <t xml:space="preserve">
</t>
        </r>
      </text>
    </comment>
    <comment ref="L321" authorId="1" shapeId="0" xr:uid="{EAE52364-950F-48C4-8EFA-F6C375403121}">
      <text>
        <r>
          <rPr>
            <sz val="9"/>
            <color indexed="81"/>
            <rFont val="Tahoma"/>
            <family val="2"/>
          </rPr>
          <t xml:space="preserve">SE toma como base el promedio de consultas que puedan generarsen en los ESM que son mas de 5000 veces al año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<sst xmlns="http://schemas.openxmlformats.org/spreadsheetml/2006/main" count="2358" uniqueCount="832">
  <si>
    <t xml:space="preserve">Referencia </t>
  </si>
  <si>
    <t>Impacto</t>
  </si>
  <si>
    <t>Causa Inmediata</t>
  </si>
  <si>
    <t>Probabilidad</t>
  </si>
  <si>
    <t>%</t>
  </si>
  <si>
    <t>Alta</t>
  </si>
  <si>
    <t>Mayor</t>
  </si>
  <si>
    <t>Atributos</t>
  </si>
  <si>
    <t>Manual</t>
  </si>
  <si>
    <t>Automático</t>
  </si>
  <si>
    <t>No. Control</t>
  </si>
  <si>
    <t>Afectación</t>
  </si>
  <si>
    <t>Tipo</t>
  </si>
  <si>
    <t>Preventivo</t>
  </si>
  <si>
    <t>Detectivo</t>
  </si>
  <si>
    <t>Correctivo</t>
  </si>
  <si>
    <t>Implementación</t>
  </si>
  <si>
    <t>Documentación</t>
  </si>
  <si>
    <t>Documentado</t>
  </si>
  <si>
    <t>Sin Documentar</t>
  </si>
  <si>
    <t>Frecuencia</t>
  </si>
  <si>
    <t>Continua</t>
  </si>
  <si>
    <t>Aleatoria</t>
  </si>
  <si>
    <t>Evidencia</t>
  </si>
  <si>
    <t>Registro Sustancial</t>
  </si>
  <si>
    <t>Registro Material</t>
  </si>
  <si>
    <t>Sin registro</t>
  </si>
  <si>
    <t>Calificación</t>
  </si>
  <si>
    <t>Tratamiento</t>
  </si>
  <si>
    <t>Aceptar</t>
  </si>
  <si>
    <t>Evitar</t>
  </si>
  <si>
    <t>Probabilidad Inherente</t>
  </si>
  <si>
    <t>Plan de Acción</t>
  </si>
  <si>
    <t>Responsable</t>
  </si>
  <si>
    <t>Fecha Implementación</t>
  </si>
  <si>
    <t>Seguimiento</t>
  </si>
  <si>
    <t>Fecha Seguimiento</t>
  </si>
  <si>
    <t>Estado</t>
  </si>
  <si>
    <t>Causa Raíz</t>
  </si>
  <si>
    <t>Impacto 
Inherente</t>
  </si>
  <si>
    <t>Probabilidad Residual Final</t>
  </si>
  <si>
    <t>Impacto Residual Final</t>
  </si>
  <si>
    <t>Zona de Riesgo Inherente</t>
  </si>
  <si>
    <t>Zona de Riesgo Final</t>
  </si>
  <si>
    <t>Clasificación del Riesgo</t>
  </si>
  <si>
    <t>Muy Baja</t>
  </si>
  <si>
    <t>Frecuencia de la Actividad</t>
  </si>
  <si>
    <t>Baja</t>
  </si>
  <si>
    <t>Muy Alta</t>
  </si>
  <si>
    <t>Tabla Criterios para definir el nivel de probabilidad</t>
  </si>
  <si>
    <t>Afectación Económica (o presupuestal)</t>
  </si>
  <si>
    <t>Pérdida Reputacional</t>
  </si>
  <si>
    <t>Afectación menor a 10 SMLMV .</t>
  </si>
  <si>
    <t xml:space="preserve">Menor-40% </t>
  </si>
  <si>
    <t>Moderado 60%</t>
  </si>
  <si>
    <t>Mayor 80%</t>
  </si>
  <si>
    <t>Catastrófico 100%</t>
  </si>
  <si>
    <t>Tabla Criterios para definir el nivel de impacto</t>
  </si>
  <si>
    <t>Características</t>
  </si>
  <si>
    <t>Descripción</t>
  </si>
  <si>
    <t>Peso</t>
  </si>
  <si>
    <t>Atributos de Eficiencia</t>
  </si>
  <si>
    <t>Va hacia las causas del riesgo, aseguran el resultado final esperado.</t>
  </si>
  <si>
    <t>Detecta que algo ocurre y devuelve el proceso a los controles preventivos.
Se pueden generar reprocesos.</t>
  </si>
  <si>
    <t>Dado que permiten reducir el impacto de la materialización del riesgo, tienen un costo en su implementación.</t>
  </si>
  <si>
    <t>Son actividades de procesamiento o validación de información que se ejecutan por un sistema y/o aplicativo de manera automática sin la intervención de personas para su realización.</t>
  </si>
  <si>
    <t>Controles que son ejecutados por una persona., tiene implícito el error humano.</t>
  </si>
  <si>
    <t>Controles que están documentados en el proceso, ya sea en manuales, procedimientos, flujogramas o cualquier otro documento propio del proceso.</t>
  </si>
  <si>
    <t>-</t>
  </si>
  <si>
    <t>Identifica a los controles que pese a que se ejecutan en el proceso no se encuentran documentados en ningún documento propio del proceso</t>
  </si>
  <si>
    <t>Este atributo identifica a los controles que se ejecutan siempre que se realiza la actividad originadora del riesgo.</t>
  </si>
  <si>
    <t>Este atributo identifica a los controles que no siempre se ejecutan cuando se realiza la actividad originadora del riesgo</t>
  </si>
  <si>
    <t>Tabla Atributos de para el diseño del control</t>
  </si>
  <si>
    <t>Extremo</t>
  </si>
  <si>
    <t>Alto</t>
  </si>
  <si>
    <t>Moderado</t>
  </si>
  <si>
    <t>Bajo</t>
  </si>
  <si>
    <t>Insignificante</t>
  </si>
  <si>
    <t>Menor</t>
  </si>
  <si>
    <t>Catastrófico</t>
  </si>
  <si>
    <t>Criterios de impacto</t>
  </si>
  <si>
    <t>Criterios</t>
  </si>
  <si>
    <t>Pérdida_Reputacional</t>
  </si>
  <si>
    <t>Afectación Económica o presupuestal</t>
  </si>
  <si>
    <t>Afectación_Económica_o_presupuestal</t>
  </si>
  <si>
    <t>Observación de criterio</t>
  </si>
  <si>
    <t xml:space="preserve">Entre 10 y 50 SMLMV </t>
  </si>
  <si>
    <t xml:space="preserve">Entre 50 y 100 SMLMV </t>
  </si>
  <si>
    <t xml:space="preserve">Entre 100 y 500 SMLMV </t>
  </si>
  <si>
    <t xml:space="preserve">Mayor a 500 SMLMV </t>
  </si>
  <si>
    <t>El riesgo afecta la imagen de alguna área de la organización</t>
  </si>
  <si>
    <t>El riesgo afecta la imagen de la entidad internamente, de conocimiento general, nivel interno, de junta dircetiva y accionistas y/o de provedores</t>
  </si>
  <si>
    <t>El riesgo afecta la imagen de de la entidad con efecto publicitario sostenido a nivel de sector administrativo, nivel departamental o municipal</t>
  </si>
  <si>
    <t>El riesgo afecta la imagen de la entidad con algunos usuarios de relevancia frente al logro de los objetivos</t>
  </si>
  <si>
    <t>Leve 20%</t>
  </si>
  <si>
    <t>La actividad que conlleva el riesgo se ejecuta como máximos 2 veces por año</t>
  </si>
  <si>
    <t>La actividad que conlleva el riesgo se ejecuta de 3 a 24 veces por año</t>
  </si>
  <si>
    <t>La actividad que conlleva el riesgo se ejecuta de 24 a 500 veces por año</t>
  </si>
  <si>
    <t>La actividad que conlleva el riesgo se ejecuta mínimo 500 veces al año y máximo 5000 veces por año</t>
  </si>
  <si>
    <t>La actividad que conlleva el riesgo se ejecuta más de 5000 veces por año</t>
  </si>
  <si>
    <t>Media</t>
  </si>
  <si>
    <t>Catastrófico
100%</t>
  </si>
  <si>
    <t>Mayor
80%</t>
  </si>
  <si>
    <t>Moderado
60%</t>
  </si>
  <si>
    <t>Menor
40%</t>
  </si>
  <si>
    <t>Leve
20%</t>
  </si>
  <si>
    <t>Muy Baja
20%</t>
  </si>
  <si>
    <t>Baja
40%</t>
  </si>
  <si>
    <t>Alta
80%</t>
  </si>
  <si>
    <t>Muy Alta
100%</t>
  </si>
  <si>
    <t>Media
60%</t>
  </si>
  <si>
    <t>El riesgo afecta la imagen de la entidad a nivel nacional, con efecto publicitarios sostenible a nivel país</t>
  </si>
  <si>
    <t>Con Registro</t>
  </si>
  <si>
    <t>Sin Registro</t>
  </si>
  <si>
    <t>El control no deja registro de la ejecución del control</t>
  </si>
  <si>
    <t>El control deja un registro que permite evidenciar la ejecución del control</t>
  </si>
  <si>
    <t>Frecuencia con la cual se realiza la actividad</t>
  </si>
  <si>
    <t>Reducir (mitigar)</t>
  </si>
  <si>
    <t>Reducir (compartir)</t>
  </si>
  <si>
    <t>Probabilidad Residual</t>
  </si>
  <si>
    <t>Identificación del riesgo</t>
  </si>
  <si>
    <t>Análisis del riesgo inherente</t>
  </si>
  <si>
    <t>Evaluación del riesgo - Valoración de los controles</t>
  </si>
  <si>
    <t>Evaluación del riesgo - Nivel del riesgo residual</t>
  </si>
  <si>
    <t>Subcriterios</t>
  </si>
  <si>
    <t xml:space="preserve">     Afectación menor a 10 SMLMV .</t>
  </si>
  <si>
    <t>❌</t>
  </si>
  <si>
    <t>✔</t>
  </si>
  <si>
    <t xml:space="preserve">     Entre 50 y 100 SMLMV </t>
  </si>
  <si>
    <t xml:space="preserve">     Entre 10 y 50 SMLMV </t>
  </si>
  <si>
    <t xml:space="preserve">     Entre 100 y 500 SMLMV </t>
  </si>
  <si>
    <t xml:space="preserve">     Mayor a 500 SMLMV </t>
  </si>
  <si>
    <t xml:space="preserve">     El riesgo afecta la imagen de alguna área de la organización</t>
  </si>
  <si>
    <t xml:space="preserve">     El riesgo afecta la imagen de la entidad internamente, de conocimiento general, nivel interno, de junta dircetiva y accionistas y/o de provedores</t>
  </si>
  <si>
    <t xml:space="preserve">     El riesgo afecta la imagen de la entidad con algunos usuarios de relevancia frente al logro de los objetivos</t>
  </si>
  <si>
    <t xml:space="preserve">     El riesgo afecta la imagen de de la entidad con efecto publicitario sostenido a nivel de sector administrativo, nivel departamental o municipal</t>
  </si>
  <si>
    <t xml:space="preserve">     El riesgo afecta la imagen de la entidad a nivel nacional, con efecto publicitarios sostenible a nivel país</t>
  </si>
  <si>
    <t xml:space="preserve">Afectación menor a 10 SMLMV </t>
  </si>
  <si>
    <t xml:space="preserve"> Matriz de Calor Residual</t>
  </si>
  <si>
    <t>Matriz de Calor Inherente</t>
  </si>
  <si>
    <t>Descripción del Control</t>
  </si>
  <si>
    <t>Proceso</t>
  </si>
  <si>
    <t>Grupo</t>
  </si>
  <si>
    <t>Consecuencias</t>
  </si>
  <si>
    <t>Causas</t>
  </si>
  <si>
    <t>ARCOM</t>
  </si>
  <si>
    <t>Nombre del Riesgo</t>
  </si>
  <si>
    <t>CRITERIOS PARA CALIFICAR EL IMPACTO - RIESGO DE CORRUPCIÓN</t>
  </si>
  <si>
    <t>No.</t>
  </si>
  <si>
    <t>PREGUNTA SI EL RIESGO DE CORRUPCIÓN SEMATERIALIZA PODRÍA</t>
  </si>
  <si>
    <t>SI</t>
  </si>
  <si>
    <t>NO</t>
  </si>
  <si>
    <t xml:space="preserve">¿Afectar al grupo de funcionarios del proceso? </t>
  </si>
  <si>
    <t>¿Afectar el cumplimiento de metas y objetivos de la dependencia?</t>
  </si>
  <si>
    <t>¿Afectar el cumplimiento de misión de la entidad?</t>
  </si>
  <si>
    <t>¿Afectar el cumplimiento de la misión del sector al que pertenece la entidad?</t>
  </si>
  <si>
    <t>¿Generar pérdida de confianza de la entidad, afectando su reputación?</t>
  </si>
  <si>
    <t>¿Generar pérdida de recursos económicos?</t>
  </si>
  <si>
    <t>¿Afectar la generación de los productos o la prestación de servicios?</t>
  </si>
  <si>
    <t>¿Dar lugar al detrimento de calidad de vida de la comunidad por la pérdida del bien, servicios o recursos públicos?</t>
  </si>
  <si>
    <t>¿Generar pérdida de información de la entidad?</t>
  </si>
  <si>
    <t>¿Generar intervención de los órganos de control, de la Fiscalía u otro ente?</t>
  </si>
  <si>
    <t>¿Dar lugar a procesos sancionatorios?</t>
  </si>
  <si>
    <t>¿Dar lugar a procesos disciplinarios?</t>
  </si>
  <si>
    <t>¿Dar lugar a procesos fiscales?</t>
  </si>
  <si>
    <t>¿Dar lugar a procesos penales?</t>
  </si>
  <si>
    <t>¿Generar pérdida de credibilidad del sector?</t>
  </si>
  <si>
    <t>¿Ocasionar lesiones físicas o pérdida de vidas humanas?</t>
  </si>
  <si>
    <t>¿Afectar la imagen regional?</t>
  </si>
  <si>
    <t>¿Afectar la imagen nacional?</t>
  </si>
  <si>
    <t>¿Generar daño ambiental?</t>
  </si>
  <si>
    <t>Total</t>
  </si>
  <si>
    <t>ESCALA DE IMPACTO CON ENFOQUE DE CORRUPCIÓN</t>
  </si>
  <si>
    <t>Escala</t>
  </si>
  <si>
    <t>Respuestas Afirmativas</t>
  </si>
  <si>
    <t>Genera medianas consecuencias sobre la entidad</t>
  </si>
  <si>
    <t>1 a 5</t>
  </si>
  <si>
    <t xml:space="preserve"> Mayor</t>
  </si>
  <si>
    <t>Genera altas consecuencias sobre la entidad.</t>
  </si>
  <si>
    <t>6 a 11</t>
  </si>
  <si>
    <t>Genera consecuencias desastrosas para la entidad</t>
  </si>
  <si>
    <t>12 a 19</t>
  </si>
  <si>
    <t>GRSYE</t>
  </si>
  <si>
    <t>GRULE</t>
  </si>
  <si>
    <t>GRAPS</t>
  </si>
  <si>
    <t>AREDO</t>
  </si>
  <si>
    <t>SISAM</t>
  </si>
  <si>
    <t>GRUGI</t>
  </si>
  <si>
    <t>GRERI</t>
  </si>
  <si>
    <t>GRUAS</t>
  </si>
  <si>
    <t>GROSD</t>
  </si>
  <si>
    <t>GRUSO</t>
  </si>
  <si>
    <t>GRUCO</t>
  </si>
  <si>
    <t>GRUTH</t>
  </si>
  <si>
    <t>GRUFI</t>
  </si>
  <si>
    <t>GRUAA</t>
  </si>
  <si>
    <t>GRUGA</t>
  </si>
  <si>
    <t>Accion de Contingencia</t>
  </si>
  <si>
    <t>Grupos - Areas DIGSA</t>
  </si>
  <si>
    <t>1. STAFF DIRECCIÓN GENERAL DE SANIDAD MILITAR</t>
  </si>
  <si>
    <t>DIGSA</t>
  </si>
  <si>
    <t>1.1. Área Ayudantía</t>
  </si>
  <si>
    <t>ARAYU</t>
  </si>
  <si>
    <t>1.2. Área Gestión Documental</t>
  </si>
  <si>
    <t>1.3. Área Comunicaciones Estratégicas y Gestión del Cambio</t>
  </si>
  <si>
    <t>1.5. Grupo Atención al Usuario y Participación Social</t>
  </si>
  <si>
    <t>1.7. Grupo Planeación Estratégica</t>
  </si>
  <si>
    <t>GRUPL</t>
  </si>
  <si>
    <t>1.8. Grupo Seguimiento y Evaluación</t>
  </si>
  <si>
    <t>2. SUBDIRECCION TECNICA Y DE GESTION</t>
  </si>
  <si>
    <t>SUBTG</t>
  </si>
  <si>
    <t>2.1.  Grupo Gestión de la Afiliación</t>
  </si>
  <si>
    <t>2.2. Grupo Gestión de la Información</t>
  </si>
  <si>
    <t>3. SUBDIRECCION DE SALUD</t>
  </si>
  <si>
    <t>SUBSA</t>
  </si>
  <si>
    <t>3.2. Grupo Gestión del Riesgo en Salud</t>
  </si>
  <si>
    <t>3.3. Grupo Aseguramiento en Salud</t>
  </si>
  <si>
    <t>3.4. Grupo Prestación y Operación de Servicios de Salud</t>
  </si>
  <si>
    <t>3.5. Grupo Salud Operacional</t>
  </si>
  <si>
    <t>4. SUBDIRECCION ADMINISTRATIVA Y FINANCIERA</t>
  </si>
  <si>
    <t>SUBAF</t>
  </si>
  <si>
    <t>4.1. Grupo Gestión Financiera</t>
  </si>
  <si>
    <t>4.2. Grupo Talento Humano</t>
  </si>
  <si>
    <t>4.3. Grupo Contratación</t>
  </si>
  <si>
    <t>4.4. Grupo Apoyo Administrativo</t>
  </si>
  <si>
    <t>1.6. Grupo Asuntos Legales</t>
  </si>
  <si>
    <t>2.3. Grupo Sistema Integral de Información - Tecnologías de la Información  y Comunicaciones</t>
  </si>
  <si>
    <t>Procesos</t>
  </si>
  <si>
    <t>Infraestructura</t>
  </si>
  <si>
    <t>Factor del Riesgo</t>
  </si>
  <si>
    <t>Ejecución y  administración de procesos</t>
  </si>
  <si>
    <t>Fraude externo</t>
  </si>
  <si>
    <t>Fraude interno</t>
  </si>
  <si>
    <t>Fallas tecnológicas</t>
  </si>
  <si>
    <t>Relaciones laborales</t>
  </si>
  <si>
    <t>Usuarios, productos y prácticas</t>
  </si>
  <si>
    <t>Daños a activos fijos/eventos externos</t>
  </si>
  <si>
    <t>Corrupción</t>
  </si>
  <si>
    <t>Fiscal</t>
  </si>
  <si>
    <t>Seguridad de la Información</t>
  </si>
  <si>
    <t>Seguridad Digital</t>
  </si>
  <si>
    <t>Factores de Riesgos</t>
  </si>
  <si>
    <t>Talento Humano</t>
  </si>
  <si>
    <t>Tecnología</t>
  </si>
  <si>
    <t>Evento Externo</t>
  </si>
  <si>
    <t>Macroproceso</t>
  </si>
  <si>
    <t>Apoyo</t>
  </si>
  <si>
    <t>Estrategico</t>
  </si>
  <si>
    <t xml:space="preserve">Misional </t>
  </si>
  <si>
    <t>Seguimiento y Evaluación</t>
  </si>
  <si>
    <t>R1</t>
  </si>
  <si>
    <t>R2</t>
  </si>
  <si>
    <t>R3</t>
  </si>
  <si>
    <t>R4</t>
  </si>
  <si>
    <t>R5</t>
  </si>
  <si>
    <t>R6</t>
  </si>
  <si>
    <t>R7</t>
  </si>
  <si>
    <t>R8</t>
  </si>
  <si>
    <t>R9</t>
  </si>
  <si>
    <t>R10</t>
  </si>
  <si>
    <t>R11</t>
  </si>
  <si>
    <t>R12</t>
  </si>
  <si>
    <t>R13</t>
  </si>
  <si>
    <t>R14</t>
  </si>
  <si>
    <t>R15</t>
  </si>
  <si>
    <t>R16</t>
  </si>
  <si>
    <t>Reputacional</t>
  </si>
  <si>
    <t>Economico</t>
  </si>
  <si>
    <t>Reputacoinal - Economico</t>
  </si>
  <si>
    <t>En Curso</t>
  </si>
  <si>
    <t>Finalizada</t>
  </si>
  <si>
    <t>*Atributos de Formalización</t>
  </si>
  <si>
    <r>
      <rPr>
        <b/>
        <sz val="11"/>
        <rFont val="Arial"/>
        <family val="2"/>
      </rPr>
      <t>*Nota 1:</t>
    </r>
    <r>
      <rPr>
        <sz val="11"/>
        <rFont val="Arial"/>
        <family val="2"/>
      </rPr>
      <t xml:space="preserve"> Los atributos de formalización se recogerán de manera informativa, con el fin de conocer el entorno del control y complementar el análisis con elementos cualitativos; éstos no tienen una incidencia directa en su efectividad. </t>
    </r>
  </si>
  <si>
    <t>4.2. Grupo Talento Humano - GRUTH</t>
  </si>
  <si>
    <t>Por queja del servidor público al encontrar la inconsistencia, en los devengos y deducciones el pago de la nómina para el mes correspondiente.</t>
  </si>
  <si>
    <t>Debido a errores en la aplicación del proceso establecido para la liquidación mensual de nómina.</t>
  </si>
  <si>
    <t>Posibilidad de afectación económica y reputacional por queja del servidor público al encontrar la inconsistencia, en los devengos y deducciones  el pago de la nómina para el mes correspondiente, debido a errores en la aplicación del proceso establecido para la liquidación mensual de nómina.</t>
  </si>
  <si>
    <t>1. No registro de las novedades dentro de la liquidación del mes.
2. Posible negligencia del servidor público para cumplir con los lineamientos y o el procedimiento establecido.
3. Demora en el suministro de novedades por parte de los procesos (Vacaciones, Licencias, Recargos, Incapacidades, Embargos, Libranzas)
4. No actualización del sistema de información, inconsistencia de parametrización del sistema.</t>
  </si>
  <si>
    <t>1. Reprocesos en la liquidación de la nómina.
2. Afectación de la imagen institucional.
3. Retraso en el pago de la nómina para los servidores públicos.
4. Incumplimiento en el cronograma establecido para el pago de la nómina.
5. Queja e inconformidad por parte de los grupos de valor interno</t>
  </si>
  <si>
    <t>El responsable de nómina 1, verifica mensualmente, mediante lista de chequeo las actividades en función de las novedades para registro en el sistema, revisando con  registro y correspondencia si la información de novedades está en trámite o entrega para las actividades pendientes.</t>
  </si>
  <si>
    <t>El responsable de nómina 2, realiza mensualmente comparativo de las novedades registradas en el sistema con la nómina del mes anterior vs la pre nómina del mes a liquidar, con el fin de verificar que las novedades fueron incluidas, realizando actualización de conceptos en el sistema cuando se presente inconsistencia.</t>
  </si>
  <si>
    <t>El responsable de nómina 1 genera el magnético de deducciones a fin de verificarlo con los resultados de la prenómina, conciliando con el procedimiento seguridad social para verificar descuentos de ley. Se realiza reliquidación en el caso de que se presenten inconsistencias.</t>
  </si>
  <si>
    <t xml:space="preserve">El responsable de nómina 1 genera los archivos magnéticos para pago y los cruza con los resúmenes de nómina del mes para tramite de pago, verificando los totales de las nóminas por niveles, en caso de tener diferencia de los totales de realiza verificación de los conceptos. </t>
  </si>
  <si>
    <t>El responsable de nómina realiza mensualmente la verificación de las novedades incluidas por la persona de apoyo, con el fin de establecer posibles errores al ingreso de las mismas, en caso de identificación se procede a realizar los ajustes dentro de los sistemas de información.</t>
  </si>
  <si>
    <t>10/04/2024
10/07/2024
10/10/2024
10/01/2025</t>
  </si>
  <si>
    <t>El responsable de nómina informa al Coordinador de grupo de talento humano y subdirector administrativo y financiero sobre las inconsistencias para respectivos tramites. 
El responsable de nómina una vez identificado la inconsistencia informa al servidor público para que realice la solicitud en caso de no pagos y reintegros, una vez registrada se realiza ajuste en sistema para pago. En caso de mayor valor pagado, el responsable de nómina genera oficio al servidor público para reintegro de los recursos.</t>
  </si>
  <si>
    <t>Por negación al reconocimiento de las incapacidades</t>
  </si>
  <si>
    <t>Debido a la demora en el envío de los documentos por parte de los responsables en el procedimiento.</t>
  </si>
  <si>
    <t>Posibilidad de pérdida económica por negación al reconocimiento de las incapacidades debido a la demora en el envío de los documentos por parte de los responsables en el procedimiento.</t>
  </si>
  <si>
    <t>1. Prescripción de tiempos de recobro, Rechazo por incumplimiento en los requisitos.</t>
  </si>
  <si>
    <t>1 Detrimento patrimonial, Procesos disciplinarios, Sanciones.</t>
  </si>
  <si>
    <t>El responsable de gestión de incapacidades realizar mensualmente seguimiento a los pagos por parte de las EPS en los porcentajes establecidos por Ley y por el número de días de cada incapacidad, si no cumple se realiza reclamaciones ante las entidades responsables del pago.</t>
  </si>
  <si>
    <t>El responsable de gestión de incapacidades realiza reclamación a las incapacidades negadas, rechazadas o inconsistentes a las EPS Y ARL mensualmente, si no cumple se realiza una segunda reclamación mediante derecho de petición.</t>
  </si>
  <si>
    <t xml:space="preserve">El responsable de gestión de incapacidades realiza oficio de solicitud de transcripción ante la EPS de incapacidades negadas por medico particular al funcionario que hizo uso del servicio, si no cumple se realiza descuento de valor de incapacidades negadas por el concepto médico particular al funcionario. </t>
  </si>
  <si>
    <t xml:space="preserve">
El responsable de gestión de incapacidades realiza  capacitación trimestral a los responsables de gestión de incapacidad de los Establecimientos de Sanidad Militar para la gestión de tramites de incapacidad ante la dirección general de sanidad militar.</t>
  </si>
  <si>
    <t>El responsable de gestión de incapacidades reporta al coordinador del Grupo de Talento las negaciones informadas por las entidades de salud y las ARL, para realizar los trámites administrativos antes las aseguradoras por vencimientos de términos.
El coordinador del grupo de talento humano realiza las acciones administrativa, frente al responsable del procesos para establecer la responsabilidad y acciones respectivas.</t>
  </si>
  <si>
    <t>El responsable de gestión de incapacidades realiza mensualmente la verificación del cumplimiento de los requisitos mínimos exigidos por las EPS y ARL, si no cumple se realiza devolución y/o solicitud de los documentos para realizar el trámite, para lo cual se debera presentar en los siguientes 10 días hábiles allegar el soporte requerido, de no ser así el funcionario quedaria inmerso en un incumplimiento de sus obligaciones laborales sin justa causa y se procede a respectivo proceso administrativo interno. Soporte del Control: Informe trimestral incapacidades.</t>
  </si>
  <si>
    <t xml:space="preserve">1. Queja e inconformidad por parte de los funcionarios en cuanto aportes realizados.
2.  Rechazo de afiliaciones al Sistema General de Seguridad Social por documentación incompleta y mal diligenciamiento en formularios.
3.  Negación de servicios de atención a los afiliados por traslados sin reporte.
</t>
  </si>
  <si>
    <t>Posibilidad de 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 debido a la demora en el pago y generación de interés moratorios.</t>
  </si>
  <si>
    <t xml:space="preserve">1. Reporte de novedades extemporáneas que afecten la Seguridad Social de los funcionarios
2.  Inconsistencias de las afiliaciones en las administradoras de Salud, Pensión, Caja de Compensación y riesgos.
3. Pago de interes Moratorios.
</t>
  </si>
  <si>
    <t>El responsable del procedimiento para pago de seguridad social verifica mensualmente los descuentos de aportes a salud, pensión y fondo de solidaridad descontados por nómina vs lo que liquida el módulo de autoliquidación de Kactus, confirmar que sean valores iguales y procede a revisar los valores totales por entidades que sean iguales entre los archivos enviados por nómina (magnéticos) y los generados en el módulo de reportes por entidades del Programa Kactus.</t>
  </si>
  <si>
    <t>El responsable del procedimiento para pago de seguridad social  debe asegurar el pago de la PILA según la normatividad vigente, hasta el día 12 hábil del siguiente mes, para evitar el pago de intereses por pago extemporáneo, para lo cual el responsable del procedimiento de pago de seguridad social genera reporte de la planilla integradora para el pago de la seguridad social  el cual se reporta dentro de los cinco primeros días hábiles de cada mes al grupo de financiera para respectivos pago dentro de las fechas establecidas.</t>
  </si>
  <si>
    <t>El responsable del procedimiento para la Estructuración y elaboración de la PILA realiza la verificación de los pagos mensuales generado Kactus  vs  operador PILA, acorde a los controles establecidos en caso de encontrar inconsistencias se procede a realiza los correctivos a que haya lugar. Soporte de Control: Conciliación trimestral de seguridad social.</t>
  </si>
  <si>
    <t>El responsable del procedimiento para la Estructuración y elaboración de la PILA realiza la verificación de los pagos mensuales generado KACTUS  vs  OPERADOR PILA, acorde a los controles establecidos.</t>
  </si>
  <si>
    <t>El responsable de liquidación de aporte en salud informa al Coordinador grupo de talento humano, sobre las inconsistencias en la liquidación de la Pila, quien a su vez comunica al subdirector administrativo y financiero para realizar los trámites respectivos para el pago.
El responsable de pago de pila, en cado de extemporaneidad de pago, debe solicitar una adición al CDP al grupo financiero para realizar el respectivo pago.
El Coordinador del grupo de trabajo de talento humano debe realizar proceso administrativo para verificar la responsabilidad.</t>
  </si>
  <si>
    <t>Por fuga de conocimiento</t>
  </si>
  <si>
    <t>Debido a la falta de implementación de estratégicas, lineamientos y herramientas para la retención, transferencia y documentación del conocimiento tácito y explícito.</t>
  </si>
  <si>
    <t xml:space="preserve">Posibilidad de afectación  económica y reputacional por fuga de conocimiento debido a la falta de implementación de estratégicas, lineamientos y herramientas para la retención, transferencia y documentación del conocimiento tácito y explícito.
</t>
  </si>
  <si>
    <t>El líder de la Política de Gestión de Conocimiento e Innovación de la DIGSA realiza mesa de Trabajo semestrales con los Coordinadores y/o líderes de los procesos, con el fin de establecer herramientas y lineamientos que permitan la identificación del conocimiento tácito y explícito y establece acciones, con el fin de documentar y consolidar la información tanto digital como física, que soporte la continuidad del proceso cuando se presente situaciones administraciones de retiro de personal.</t>
  </si>
  <si>
    <t xml:space="preserve">Los Coordinadores de los grupos internos de Trabajo mantienen un par en los procedimientos criticos, con el fin de garantizar la continuidad de actividades y flujo de información, este par se asigna de acuerdo a las funciones y/o actividad asignadas y/o requeridas, realizando mesas de trabajo semanales para realizar actualizaciones de información. </t>
  </si>
  <si>
    <t>El líder de la Politica de Gestión de Conocimiento e Innovación de la DIGSA verifica la implementación de herramientas que permitan la retención de información y la implementación de los procedimientos para garantizar la transferencia del conocimiento.</t>
  </si>
  <si>
    <t>El coordinador del grupo de área o líder verifica las herramientas implementadas para la retención de conocimiento, como son manuales, guías, procedimiento y copias de seguridad del proceso, en caso de soportarlo por el funcionario saliente, el coordinador y/o líder realiza solicitud escrita para la entrega total de los requerimientos que necesite el proceso para la continuidad de las actividades.</t>
  </si>
  <si>
    <t xml:space="preserve">1. Ingreso de personal sin los requisitos de estudio y experiencia establecidos en el Manual de Funciones vigente.           
  2.  Ingreso de personal sin los requisitos de acuerdo al procedimiento de nombramientos DIGSA. 
3. Fallas en la Operatividad de los Procesos y Procedimientos.
4. Demandas Grupos valor e interés.
</t>
  </si>
  <si>
    <t>1. Falta exactitud en el planeamiento de las vacantes.
2. Falta de cumplimiento de requisitos de estudio y experiencia de acuerdo al Manual de Funciones Vigente.
3. Falta de cumplimiento de requisitos de acuerdo al procedimiento de nombramientos DIGSA
4. Pago de multas, cláusulas penales o cualquier tipo de sanción</t>
  </si>
  <si>
    <t>El Grupo de Talento Humano DIGSA de sanidad ylas direcciones de Sanidad DISAN EJECITO, DISAN ARMADA, JEFSA, verifican el cumplimientode los requisitos establecido en el Manual de Funciones vigente para proveer las vacantes y verifica el cumplimiento del procedimiento de Nombramientos, igualmente, se implementan los lineamientos establecido por el Departamento administrativo de la Función Pública.</t>
  </si>
  <si>
    <t>El Coordinador Grupo de Trabajo de Talento Humano  validan  para los nombramientos del personal de carrera administrativa, se realiza por concurso de méritos a través de la Comisión Nacional del Servicio Civil, quienes verifican los requisitos de educación y experiencia de acuerdo al Manual de Funciones. A demanda.</t>
  </si>
  <si>
    <t xml:space="preserve">El Coordinador Grupo de Trabajo de Talento Humano,valida la ofreta pública del empleo antes de ser enviada a  la CNSC, para los nombramientos del personal de carrera administrativa, provisionalidad y libre nombramiento y remoción, se revisan el concepto del estudio de seguridad con resultado favorable, el cual les desarrollado por la Dirección de inteligencia y contrainteligencia del Comando General y de cada Fuerza. </t>
  </si>
  <si>
    <t>El líder del procedimiento de nombramientos mantiene actualizada la normatividad vigente sobre los lineamientos establecidos para la vinculación de personal, se adoptan las políticas y guías del  departamento administrativo de la función pública.</t>
  </si>
  <si>
    <t>Por demandas, sanciones disciplinarias e indemnizaciones de grupo de interés</t>
  </si>
  <si>
    <t>A causa de la omisión de la normatividad vigente y aplicación del procedimiento de retiro.</t>
  </si>
  <si>
    <t>Posibilidad de efecto dañoso sobre los recursos públicos, por demandas, sanciones disciplinarias e indemnizaciones de grupo de interés a causa de la omisión de la normatividad vigente y aplicación del procedimiento de retiro.</t>
  </si>
  <si>
    <t>1. Desconocimiento de la normatividad vigente.
2. Inadecuada ejecución del procedimiento de retiro.</t>
  </si>
  <si>
    <t>1. Demandas por grupo de interés
2. Sanciones disciplinarias de ente de control
3. Indemnizaciones</t>
  </si>
  <si>
    <t xml:space="preserve">El líder de elaboración de la PILA revisa  y verifica los soportes del acto administrativo, con el fin de realizar la liquidación correspondiente de las prestaciones sociales de acuerdo a la normatividad y derechos adquiridos. </t>
  </si>
  <si>
    <t>El responsable del Procedimiento de Retiro se actualiza continuamente acerca de la normatividad y lineamientos establecidos por nivel central y entidad sector.</t>
  </si>
  <si>
    <t>Económico y Reputacional</t>
  </si>
  <si>
    <t>Incumplimiento de los estándares mínimos del sistema de gestión de seguridad y Salud en el Trabajo.</t>
  </si>
  <si>
    <t>Posiblidad de pérdida economica y reputacional por demandas de grupos de valor y sanciones de entes de control y vigilancia debido al imcumplimiento de los estándares mìnimos del Sistema de seguridad y salud en el trabajo.</t>
  </si>
  <si>
    <t>Los líderes de Seguridad y Salud en el Trabajo de las Direcciones de Sanidad adoptan anualmente los lineamientos para implementarlos en niveles centrales y Establecimientos de Sanidad,  documentando y registrando su implementación en los documentos del SG-SST.</t>
  </si>
  <si>
    <t>Los líderes SST de la DISAN y JEFSA, verifican mensualmente el desarrollo del Sistema de Seguridad y Salud en el Trabajo en los Establecimientos de Sanidad, a través de  las evidencias documentales emitidas por los responsables de SST.</t>
  </si>
  <si>
    <t>El líder del Sistema de Gestión de Seguridad y Salud en el Trabajo de la DIGSA anualmente y acorde con los cambios normativos en materia de SST, define median el Plan de Trabajo del SG-SST los lineamientos para la implementaciòn y sostenibilidad en las Direcciones de Sanidad, Jefatura de Salud y Establecimientos de Sanidad. Soporte de Control: Plan de Trabajo SG-SST.</t>
  </si>
  <si>
    <t>Los responsables de Seguridad y Salud en el trabajo de los Establecimientos desarrollan, documentan y registran  en los documentos del SG-SST Cuatrimestralmente las actividades establecidas en el Sistema de Salud y Seguridad en el Trabajo. Soporte Control: Informe de Gestión cuatrimestralmente ESM.</t>
  </si>
  <si>
    <t>El líder de Seguridad y Salud de Trabajo de la DIGSA, y los lideres SST de la DISAN y JEFSA, verifican y documentan mediante informe de gestión cuatrimestral  el desarrollo del Sistema de Seguridad y Salud en el Trabajo en los Establecimientos de Sanidad. Soporte de Control: Informe Cuatrimestral Desarrollo SST.</t>
  </si>
  <si>
    <t>El líder de seguridad y salud de trabajo de la DIGSA, y los responsables de SST de la DISAN y JEFSA, realizan retroalimentación mediante oficio remisorio, correo electrónico, radiograma, videconferencia, al desarrollo de las actividades del SG-SST a los Establecimientos de Sanidad, requiriendo acciones de mejora.Soporte: De acuerdo a demanda por evidencia halladas en la ejecución de Actividades.</t>
  </si>
  <si>
    <t>Capacitación periódica a los responsables de Seguridad y Salud en el Trabajo de los ESM.
Obedeciendo al principio de mejora continua se actualizan los Programas de vigilancia, procedimientos, protocolos y documentación del SG-SST.
Comunicación y asesoramiento permanente con la Administradora de Riesgos Laborales. 
Verificación de la implementación de las acciones de mejora establecidas en la retroalimentación al desarrollo de las actividades del SG-SST a los Establecimientos de Sanidad.</t>
  </si>
  <si>
    <t>Revisión de los controles adoptados y entrega a los entes de control, exponiendo todas las acciones y medidas implementadas en el marco del Sistema de Gestión de Seguridad y Salud en el Trabajo, indicando que la materialización del riesgo se dio de forma fortuita, según sea el caso.
Corresponsabilidad (acción de repetición) a partir del Líder del SG-SST DIGSA, líder SST DISAN/JEFSA y Responsable SST ESM.</t>
  </si>
  <si>
    <t>APOYO</t>
  </si>
  <si>
    <t>Omitir la norma en lo relacionado a procesos de selección de personal de planta.
Tráfico de influencias.
Abuso de poder.</t>
  </si>
  <si>
    <t>Manejo inadecuado de los procesos de nombramiento de personal.
Investigaciones disciplinarias, responsabilidad legal, inadecuado funcionamiento de la entidad.</t>
  </si>
  <si>
    <t>La Direcciones de Sanidad DISAN EJERCITO, DISAN ARMADA, JEFSA revisan y anexan a la carpeta del aspirante la evaluaciòn de desempeño, el Coordinador Grupo de Trabajo de Talento Humano  verfica  los resultados de la evaluación de desempeño para los empleos de libre nombramiento y remociòn, que cumplan los requisitos y procede a realizar el acto administrativo de nombramiento.</t>
  </si>
  <si>
    <t xml:space="preserve">El Coordinador Grupo de Trabajo de Talento Humano y as direcciones de Sanidad DISAN EJERCITO, DISAN ARMADA, JEFSA  para los nombramientos de libre nombramiento y remoción, realiza la verificación de publicaciones de hojas de vida por parte del Ministerio de Defensa y Presidencia de la República. El Ministerio de Defensa y Presidencia para la publicación de las hojas de vida, verifican los requisitos de educación y experiencia de acuerdo al Manual de Funciones. </t>
  </si>
  <si>
    <t xml:space="preserve">El Coordinador Grupo de Trabajo de Talento Humano y las direcciones de Sanidad DISAN EJECITO, DISAN ARMADA, JEFSA , para los nombramientos del personal de carrera administrativa, se realiza por concurso de méritos a traves de la Comisión Nacional del Servicio Civil, quienes verifican los requisitos de educación y experiencia de acuerdo al Manual de Funciones. </t>
  </si>
  <si>
    <t xml:space="preserve">
El Coordinador Grupo de Trabajo de Talento Humano y Sanidad DISAN EJERCITO, DISAN ARMADA, JEFSA, para cargos de carrera administrativa se realiza a través de la Comisión nacional del servicio civil, se realiza reporte de la vacante definitiva de acuerdo con los requerimientos de la CNCS.
El Coordinador Grupo de Trabajo de Talento Humano y Sanidad DISAN EJERCITO, DISAN ARMADA, JEFSA, apoyarse en el Ministerio de Defensa y Presidencia de la República, la cual publica a consideración de los grupos valor e interés para sus observaciones.</t>
  </si>
  <si>
    <t xml:space="preserve">
Las Direcciones de Sanidad DISAN EJERCITO, DISAN ARMADA, JEFSA, informe mediante oficio a la Dirección General de Sanidad Militar, el incumplimiento de requisitos del aspirante o funcionario, con el fin de realizar los procedimientos administrativos requeridos.
El Coordinador Grupo de Trabajo de Talento Humano y Sanidad DISAN EJERCITO, DISAN ARMADA, JEFSA, realiza revocatoria del nombramiento de acuerdo con las causales del Decreto 1792 de 2000, mediante acto administrativo justificando la revocatoria. 
El Coordinador Grupo de Trabajo de Talento Humano, solicita a la oficina de control disciplinario interno del Ministerio de Defensa, realizar apertura de investigación disciplinaria a los responsables del proceso.</t>
  </si>
  <si>
    <t>donde se usa el poder para desviar la gestión de lo público hacia un beneficio propio directo o indirecto del funcionario y/o contratista</t>
  </si>
  <si>
    <t xml:space="preserve">Posibilida  omisión de la declaración de conflicto de intereses,  donde se usa el poder para desviar la gestión de lo público hacia un beneficio propio directo o indirecto del funcionario y/o contratista.
</t>
  </si>
  <si>
    <t>1. Por incumplimiento al artículo 44 de la Ley 1952 de 2019 se radica la solicitud de iniciar un proceso en la oficina de Control Disciplinario Interno del Ministerio de Defensa Nacional.
2. Afectación de la imagen institucional.
3. Detrimento patrimonial. 
4. Incremento en la solicitud de investigaciones disciplinarias o penales.
5. Actividades sin cumplir que afecten los procedimientos y procesos.</t>
  </si>
  <si>
    <t>El responsable de la Política de Integridad realiza mesas de trabajo con el personal de la Dirección General de Sanidad Militar semestralmente, con el fin de revisar el procedimiento interno para el manejo y declaración de conflictos de intereses. Soporte del control: Actas de socialización.</t>
  </si>
  <si>
    <t>Los responsables en las oficinas de Talento Humano de las Direcciones de Sanidad y de la Dirección General de Sanidad Militar solicita a los aspirantes del nivel Directivo para su nombramiento el diligenciamiento del formato de conflicto de intereses y el soporte del cargue en la plataforma de la Función Pública, se realiza en el momento de cambios de Directivos. El formato hace parte del folio de vida del Servidor Público.</t>
  </si>
  <si>
    <t>El Coordinador de Grupo de Talento Humano DIGSA, realiza seguimiento semestral al interior del Comité Institucional de Gestión y Desempeño DIGSA sobre las declaraciones de conflicto de intereses y recusaciones presentados durante la vigencia.</t>
  </si>
  <si>
    <t xml:space="preserve">El responsable de la Política de Integridad socializa a los Servidores Públicos de la Dirección General de Sanidad Militar, en la identificación, declaración y gestión de posibles conflictos de intereses.
El responsable de la Política de Integridad, solicita al personal de la Dirección General de Sanidad Militar certificarse el "Curso virtual de Integridad, Transparencia y Lucha contra la Corrupción" del Departamento Administrativo de la Función Pública y realiza seguimiento semestral del cumplimento de la actividad.  </t>
  </si>
  <si>
    <t xml:space="preserve"> omisión de la declaración de conflicto de interesés</t>
  </si>
  <si>
    <t xml:space="preserve">En caso que los servidores públicos o contratistas no declaren el presunto conflicto de interesés,  podrá ser denunciado disciplinaria y penalmente ante la autoridad competente. </t>
  </si>
  <si>
    <t>Posibilidad de efecto dañoso sobre recurso público por el pago de demandas en contra de la entidad debido a la omisión de los requisitos establecidos en el  procedimiento para los nombramientos de personal en DIGSA.</t>
  </si>
  <si>
    <t>Efecto dañoso sobre recurso publico por el pago de demendas en contra de la entidad</t>
  </si>
  <si>
    <t xml:space="preserve"> Debido a la omisión de los requisitos establecidos en el  procedimiento para los nombramientos de personal en DIGSA.</t>
  </si>
  <si>
    <t>Efecto dañoso sobre recursos públicos, por queja y/o demanda del servidor público, por falta de registro de novedades, demora del suministro de información por parte de los procesos, errores en el proceso de afiliación, liquidación al Sistema de Seguridad Social Integral y negación del servicio</t>
  </si>
  <si>
    <t>Debido a la demora en el pago y generación de interés moratorios.</t>
  </si>
  <si>
    <t>Tráfico de Influencias</t>
  </si>
  <si>
    <t>Para el nombramiento de personal en cargos de libre nombramiento y remoción y/o provisionalidad.</t>
  </si>
  <si>
    <t>Posibilidad de afectación reputacional por  tráfico de Influencias para el nombramiento de personal en cargos de libre nombramiento y remoción y/o provisionalidad.</t>
  </si>
  <si>
    <t>El Coordinador de Talento Humano con las Direcciones de Sanidad DISAN EJC, ARC Y JEFSA, revisa el cumplimiento de la normatividad y del procedimiento de nombramientos del personal en provisionalidad y libre nombramiento y remoción, de acuerdo al plan de previsión de recursos humanos anual.</t>
  </si>
  <si>
    <t>El Coordinador Grupo de Trabajo de Talento Humano y Sanidad DISAN EJC, ARC Y JEFSA realiza revisión de requisitos y documentos, verificando de acuerdo a la lista chequeo los requisitos requeridos, vs los soportes de hoja de vida de los aspirantes.  Para personal asistencial se realiza verificación en la página del ministerio de salud RETHUS, para todo el personal se realiza verificación en las entidades de control disciplinario.</t>
  </si>
  <si>
    <t>El responsable del procedimiento de Retiro revisa el acto administrativo y los soportes suministrados por los diferentes actores (DISAN EJC, DISAN ARC y JEFSA) estén acorde a la normatividad vigente y lineamientos institucionales y verificando que no se encuentre inmerso dentro de una situación administrativa (licencias, vacaciones e incapacidades).</t>
  </si>
  <si>
    <t>El líder de la Política de gestión conocimiento e Innovación, realiza capacitación a los coordinadores y líderes de área sobre la implementación y sostenibilidad de la política acorde al Plan de gestión de conocimiento e innovación.</t>
  </si>
  <si>
    <t>Sanciones de entes de control, regualdores o demantas grupos de valor</t>
  </si>
  <si>
    <t>1. Deficiencia en la competencia de los líderes SST en los Establecimientos de Sanidad. 
2. Ausencia de herramientas tecnológicas sistematizadas que permitan monitorear en tiempo real el cumplimiento de las políticas y lineamientos emitidos desde la DIGSA, así como la calidad de los datos. 
3. Deficiencia en la asignación de recursos que permitan la intervención de los riesgos identificados.</t>
  </si>
  <si>
    <t>1. Posibilidad de intervención de organismos de control, quienes podrían aplicar sanciones y multas. 
2. Posibilidad de materialización de siniestros por deficiente intervención de los riesgos ocupacionales. 
3. Posibilidad de no cobertura a eventos o siniestros por la ARL. 
4. Posibilidad de reclamaciones de los trabajadores al empleador.</t>
  </si>
  <si>
    <t>09/02/204
08/03/2024
10/04/2024
10/05/2024
11/06/2024
10/07/2024
09/08/2024
10/09/2024
10/10/2024
12/11/2024
10/12/2024
10/01/2025</t>
  </si>
  <si>
    <t>El coordinador del grupo de área o líder  revisa el procedimiento de retiro y en caso de encontrar inconsistencias se realiza actualización. El Coordinador informa al Director la materialización del riesgos con el fin de realizar los respectivos procesos administrativos.</t>
  </si>
  <si>
    <t>1. Jubilación: el servidor se retira de la entidad por cumplir la edad de retiro por vejez. 
2. Cambio de trabajo: el servidor deja la entidad, probablemente para unirse a otra organización, esto puede deberse al agotamiento, a mejores oportunidades y/o despidos, entre otros.
3. Discapacidad: la entidad pierde al servidor, ya sea de forma permanente, debido a muerte o incapacidad; o temporalmente, debido a una lesión o enfermedad.
4. Rotación: el servidor deja su puesto actual para pasar a otro en la misma entidad.
5. Deficiencias en el mecanismo para transferir el conocimiento de los servidores que se retiran de la Entidad a quienes continúan vinculados.</t>
  </si>
  <si>
    <t>1. Repetición de los errores, por desconocimiento. 
2. Desarticulación de los procesos. 
3. Reprocesos en los procedimientos. 
4. Desaprendizaje de conocimiento.
5. Pérdida de conocimiento</t>
  </si>
  <si>
    <t xml:space="preserve"> El servidor Público presenta alguna de las causales de impedimento  contemplado en el articulo 11 de la ley 1437 de 2011 y y no es declarado por él. privado y resultando conveniente para él.</t>
  </si>
  <si>
    <t>1.2. Área Gestión Documental - AREDO</t>
  </si>
  <si>
    <t>Demandas, procesos disciplinarios</t>
  </si>
  <si>
    <t>Pérdida o manejo inadecuado de la documentación en el acceso al area de archivo de gestión y central.</t>
  </si>
  <si>
    <t>Posibilidad de afectación reputacional por demandas, procesos disciplinarios debido a la pérdida de la documentación en custodia de las áreas de archivo de gestión y central.</t>
  </si>
  <si>
    <t xml:space="preserve">- La Entidad no cuenta con el Instrumento Tablas de Control de Acceso.
- Manejo inadecuado de los gestores documentales.
- Ingreso no autorizado de personal 
</t>
  </si>
  <si>
    <t>El responsable de Gestión Documental anualmente realiza comunicación interna con los lineamientos en el manejo de la gestión documental de la entidad, del proceso producción, gestión y tramite, organización, transferencia, consulta y préstamo de documentos y custodia, lo anterior mediante circular dirigida a los funcionarios que integran la Dirección General de Sanidad Militar DIGSA, con el fin de implementar acciones que permitan el manejo adecuado de la documentación y el cumplimiento de la normatividad vigente. Producto de Control: Comunicación interna lineamiento manejo gestión documental.</t>
  </si>
  <si>
    <t>El responsable de Gestión Documental realiza capacitación continua a los funcionarios en el manejo del archivo de gestión y archivo central, se soporta en acta de capacitación.
El responsable de Gestión Documental mantiene actualizada la lista de los gestores documentales de acuerdo a los cambios administrativos de los funcionarios, realizando la actualización de perfiles y roles en el Sistema de Gestión de Documento Electrónico de Archivo SGDEA.</t>
  </si>
  <si>
    <t>El responsable de gestión documental en cado de perdida de expediente realiza las siguientes acciones: 
 - Realizar informe al director de la Dirección General de Sanidad Militar, indicando, tipo de documento, proceso afectado, para las acciones administrativas correspondientes.
 - Revisión de registro de ingresos verificando funcionario, hora y tipo de documentación solicitada.
 - Revisión del sistema de vigilancia, revisando la hora y fecha de registro de ingresos al área afectada, de acuerdo con la información suministrada por el funcionario responsable del proceso afectado.</t>
  </si>
  <si>
    <t>El responsable de Gestión Documental actualiza de forma periódica el personal designado como gestor documental, mediante comunicación oficial a los Subdirectores, coordinadores y lideres de área, con el fin de mantener actualizado el registro de los responsables del uso y manejo de los archivos de gestión.</t>
  </si>
  <si>
    <t>El responsable de gestión documental aplica el procedimiento de consulta y préstamo de documento para el acceso a la información en el área de archivo de gestión y archivo central, solicitando a los funcionarios de gestión documental el diligenciamiento de los formatos establecidos como control, esto se archivan en la carpeta de consulta y préstamo de documento custodiado por el líder de gestión documental.</t>
  </si>
  <si>
    <t>El responsable de gestión documental para el acceso al área de archivo de gestión y central verifica el listado de los gestores documentales autorizados por los Coordinadores, y la respectiva área asignada a cada proceso, en caso de no registrar en la lista, se informará al Coordinador del proceso, para su actualización. Soporte del Control:  Matriz de Gestores Documentales actualizado.</t>
  </si>
  <si>
    <t>El responsable de gestión documental tiene asignada un área específica para cada proceso, en el área de archivo de gestión, lo que permite verificar que los gestores documentales solo acceden al área asignada, en caso de presentarse acceso a un área no autorizada, se realiza llamado de atención y comunicación vía correo electrónico al coordinador de área y gestor documental.</t>
  </si>
  <si>
    <t xml:space="preserve"> - Sanciones Administrativas y/o penales por parte de los Entes de Control.
 - Afectación de la imagen institucional.
 - Pérdida de memoria y de información institucional.
 - Indisponibilidad de la información y/o retrasos de los servicios de consulta y acceso a la información. 
 - Demandas por vulneración a los derechos de reserva de datos personales.
 </t>
  </si>
  <si>
    <t>Sanciones entes de control, demandas, nulidades procesales</t>
  </si>
  <si>
    <t>uso indebiduo de información privilegiada y confidencial del archivo de gestion y archivo central para beneficio propio o de terceros</t>
  </si>
  <si>
    <t>Posibilidad  de uso indebido de información privilegiada y confidencial del archivo de gestión y archivo central para beneficio propio o de terceros.</t>
  </si>
  <si>
    <t xml:space="preserve">- La Entidad no cuenta con el Instrumento Tablas de Control de Acceso.
- Manejo inadecuado de los gestores documentales.
- Ingreso no autorizado de personal </t>
  </si>
  <si>
    <t xml:space="preserve"> - Investigaciones disciplinarias, fiscales y penales.
 - Detrimento de la imagen de la entidad ante sus grupos de valor.
 - Pérdida reputacional de la imagen institucional.</t>
  </si>
  <si>
    <t>El responsable de gestión documental administra y gestiona los roles y permisos en el Sistema de Gestión de Documento Electrónico y de Archivo SGDEA, de acuerdo a las solicitudes o necesidades enviadas por los coordinadores y lideres de área quienes definen los roles y permisos que deben tener los funcionarios designados para el proceso de gestores documentales, igualmente los usuarios deberán firmar una política de seguridad de la información.</t>
  </si>
  <si>
    <t>El responsable de gestión documental tiene implementado el formato para las solicitudes de suministro de información, en el cual se registra el nombre y firma del gestor documental y la autorización por parte del Coordinador de la dependencia solicitante como responsable del uso y manejo de la información, en caso de no contar con esta autorización el responsable de gestión documental remite comunicación al coordinador informando la novedad y solicitando la autorización, Igualmente el responsable de gestión documental verifica el listado de gestores documentales activos, en caso de no estará habilitado genera comunicación al Coordinador para su revisión y designación.</t>
  </si>
  <si>
    <t>El responsable de gestión documental controla el ingreso y acceso al área archivos de gestión y central mediante la verificación de los gestores documentales activos, el registro ingreso en la planilla de control de acceso, si el gestor no esta activo se procede a enviar comunicación al coordinador de la dependencia o líder de área solicitando los datos para su activación en el sistema y autorización de ingreso.</t>
  </si>
  <si>
    <t>El responsable de gestión documental implementa los acuerdos de confidencialidad en el uso y manejo de información privilegiada, los cuales son firmados por cada gestor documental, lo que permite establecer responsabilidad por el gestor documental frente al uso y administración de los documentos institucionales.</t>
  </si>
  <si>
    <t>El responsable de gestión documental tiene implementado dentro del área de archivo de gestión y central sistema de monitoreo para verificación de ingresos en caso de materializarse el riesgo, se dispone de copia de seguridad, y frente a la materialización se realizará auditoria al ingreso del personal de acuerdo con la solicitud del proceso afectado.</t>
  </si>
  <si>
    <t xml:space="preserve">El responsable de Gestión Documental realiza capacitación continua a los funcionarios en el manejo del archivo de gestión y archivo central, se soporta en acta de capacitación.
El responsable de Gestión Documental realiza capacitación e inducción en el uso de contraseñas para el buen uso y administración, registrado en acta de capacitación y/o forma de capacitación, este proceso se realiza de acuerdo a la periodicidad en los cambios de los funcionarios responsables. </t>
  </si>
  <si>
    <t>Realizar informe al Director de la Dirección General de Sanidad Militar, indicando, tipo de documento, proceso afectado, para las acciones administrativas correspondientes.
Revisión de registro de ingresos verificando funcionario, hora y tipo de documentación solicitada.
Revisión del sistema de vigilancia, revisando la hora y fecha de registro de ingresos al área afectada, de acuerdo con la información suministrada por el funcionario responsable del proceso afectado.</t>
  </si>
  <si>
    <t>1.5. Grupo Atención al Usuario y Participación Social - GRAPS</t>
  </si>
  <si>
    <t>demandas, sanciones de entes de control, procesos disciplinarios</t>
  </si>
  <si>
    <t>respuesta a los requerimientos interpuestos por los usuarios fuera de los plazos que establece la ley.</t>
  </si>
  <si>
    <t>Posibilidad afectación económica y reputacional por demandas, sanciones de entes de control, procesos disciplinarios debido a respuesta a los requerimientos interpuestos por los usuarios fuera de los plazos que establece la ley.</t>
  </si>
  <si>
    <t>1. Desconocimiento y aplicación de la normatividad en los términos legales para dar respuesta.
2. No contar con información clara, completa y oportuna, por parte de los diferentes procesos de la entidad para emitir las respuestas a los requerimientos de los usuarios.
3. Falta de capacitación al personal del área que permita fortalecer el proceso y las relaciones con el usuario.
4. Fallas en los sistemas de información PQRSD para la gestión de los requerimientos.
5. Rotación permanente en el personal que gestiona las PQRSD.</t>
  </si>
  <si>
    <t>1. Sanciones de entes de control.
2. Demandas de grupos de valor e interés.
3. Incumplimiento de las metas establecidas a nivel de satisfacción del usuario.
4. Desgaste administrativo por reprocesos.
5. Pérdida de credibilidad e imagen institucional.</t>
  </si>
  <si>
    <t>Los profesionales del área de PQRSD  del Grupo Atención al Usuario y Participación Social DIGSA, realizan la revisión diaria en los aplicativos SUPERSALUD y módulo de PQRSD página WEB de la Dirección General de Sanidad Militar, identificando la dependencia responsable, asignando internamente a los procesos correspondientes en la DIGSA y a la Direcciones de Sanidad Ejército Nacional, Dirección de Sanidad Naval, Jefatura Salud Fuerza Aeroespacial, los cuales revisan y verifican su pertinencia para dar respuesta en los tiempos de ley, aquellas que no pertenecen realizan la respectiva reasignación para su respectivo trámite.</t>
  </si>
  <si>
    <t>Los profesionales del área de PQRSD del Grupo Atención al Usuario y Participación Social DIGSA, descargan reportes del aplicativo para realizar boletines semanales y mensuales de las PQRSD, informando el comportamiento y su estado, de acuerdo con este se generan oficios a la Dirección de Sanidad Ejercito Nacional, Dirección de Sanidad Naval y Jefatura Salud Fuerza Aeroespacial de las PQRSD en estado a vencer para su gestión y respectivo trámite.</t>
  </si>
  <si>
    <t>El Coordinador del Grupo Atención al Usuario y Participación Social DIGSA, realiza reuniones semanales con los líderes de las oficinas de Atención al Usuario de las Direcciones de Sanidad Ejercito, Naval, Jefatura Salud Fuerza Aeroespacial y Hospital Militar, donde se informa por parte de los líderes de las líneas de acción, la gestión frente al Acuerdo 075 de 2020, principalmente en el estado y comportamiento de las PQRSD del módulo WEB DIGSA y Supersalud, lo anterior con el fin de realizar seguimiento y control a la gestión y dar lineamientos para mejorar el cierre de los casos.</t>
  </si>
  <si>
    <t>Los profesionales del área de PQRSD del Grupo Atención al Usuario y Participación Social DIGSA, realizan el seguimiento semanal y consolidan informes mensuales y trimestrales de la gestión y trámites de las PQRSD, con el fin de verificar la gestión y cierre oportuno de los casos en los tiempos establecidos normativamente, en caso de encontrar pendientes se genera oficio internamente a los responsables de los grupos de trabajo DIGSA y externamente a las Direcciones de Sanidad Ejército, Naval, Jefatura Salud Fuerza Aeroespacial, se soporta en el consolidado del Informe trimestral presentado al Director General de Sanidad Militar, el cual remite al viceministerio del GSED Grupo Social y Empresarial de la Defensa.</t>
  </si>
  <si>
    <t>Mediante Radicado No. 0122010630702 /MDN-COGFM-JEMCO-DIGSA-GRAPS-ARPQR-29.25 del 09 de septiembre de 2022, se solicitó a las Subdirecciones y coordinaciones de la DIGSA, designar a un servidor público como responsable del trámite de las PQRS dentro del aplicativo web de la DIGSA.
Mediante Radicado No. 0123007015202 /MDN-COGFM-JEMCO-DIGSA-GRAPS-ARPQR-29.25 del 05 de julio de 2023, se solicitó a las Subdirecciones y coordinaciones de la DIGSA, la asignación inmediata de un servidor público como responsable del del manejo, trámite y cierre de las PQRS allegados por el ente de control en el aplicativo de la Supersalud y módulo DIGSA los fines de semana.</t>
  </si>
  <si>
    <t>El Responsable del Grupo Atención al Usuario y Participación Social, informa el estado de las PQRSD vencidas cerradas fuera de los términos de ley a los Directores de la Dirección de Sanidad Ejército, Dirección de Sanidad Naval, Jefatura Salud Fuerza Aeroespacial, con el fin de que se generen acciones de mejoramiento para la respuesta oportuna, igualmente se solicita la justificación por la cual no se dio respuesta oportuna a los requerimientos.</t>
  </si>
  <si>
    <t>3.3. Grupo Aseguramiento en Salud - GRUAS</t>
  </si>
  <si>
    <t>implicaciones legales, perdida de la credibilidad o imagen de la entidad</t>
  </si>
  <si>
    <t>incumplimiento del  Acuerdo 070 de 2019 “Por el cual se establece el Modelo de Atención Integral en Salud para el Sistema de Salud de las Fuerzas Militares y la Policía Nacional” MATIS y la Guía del Modelo de Atención Integral en Salud MATIS.</t>
  </si>
  <si>
    <t>Posibilidad afectación economica y reputacional por implicaciones legales, perdida de la credibilidad o imagen de la entidad debido al incumplimiento del Acuerdo 070 de 2019 “Por el cual se establece el Modelo de Atención Integral en Salud para el Sistema de Salud de las Fuerzas Militares y la Policía Nacional” MATIS y la Guía del Modelo de Atención Integral en Salud MATIS.</t>
  </si>
  <si>
    <t>1. Falta de articulación y adherencia de procesos y procedimientos con los cambios normativos para los actores del SSFM (DIGSA-DISAN-JEFSA-ESM-Usuarios).  
2. Imcumplimiento de las actividades parametrizadas para el seguimiento y control de  la implementación del MATIS y el procedimiento verificación implementación Modelo de Atención Integral en Salud MATIS DIGSA</t>
  </si>
  <si>
    <t>1. Reprocesos por desconocimiento y falta de aplicación de los lineamientos emitidos en el SSFM.
2. No dar cumplimiento al acuerdo 070 de 2019 y el anexo técnico, presentando fallas en la calidad  de la prestación de servicios, generando implicaciones legales, perdida de la credibilidad o imagen de la entidad.</t>
  </si>
  <si>
    <t>El responsable del proceso aseguramiento en salud realiza mesas de trabajo asistencia técnicas trimestralmente con las áreas, grupos, responsables de módulos y componentes del modelo de atención integral de salud con el fin de realizar el respectivo seguimiento en la aplicabilidad y cumplimiento de las actividades definidas en cada módulo y componente del MATIS. Soporte del Control: Acta Mesas de trabajo trimestralmente.</t>
  </si>
  <si>
    <t>El responsable del aseguramiento en salud realiza trimestralmente seguimiento y control a la Guía del Modelo de atención Integral en Salud MATIS en el Subsistema de Salud de las Fuerzas Militares, y entrega informe al Director General de Sanidad Militar para el análisis y toma de decisiones por parte de la Alta Dirección y el comité implementación, monitoreo y control del modelo de atención integral en salud CIMCO MATIS. Soporte de Control: Informe de Seguimiento verificación Implementación MATIS.</t>
  </si>
  <si>
    <t>El responsable del aseguramiento en salud realiza la verificación Semestralmente a la implementación Modelo de Atención Integral en Salud MATIS DIGSA, mediante el Comité de Implementación y Control del MATIS CIMCO, donde se toman las medidas y acciones necesarias para la correcta implementación del acuerdo 070 de 2019 y en caso de ser necesario se ajusta la guía MATIS. Soporte de Control: Acta de reunión del CIMCO.</t>
  </si>
  <si>
    <t>El responsable del proceso de aseguramiento en salud realiza trimestralmente seguimiento y control a la Guía del Modelo de atención Integral en Salud MATIS y apoya a la Alta Dirección y al comité implementación, monitoreo y control del modelo de atención integral en salud CIMCO MATIS, con los ajustes que se requieran para el cumplimiento de lo definido en el acuerdo 070 de 2019, mediante la actualización de la guía MATIS.</t>
  </si>
  <si>
    <t>El responsable del proceso de aseguramiento trimestralmente identifica que procesos y procedimiento presentan incumplimiento en la implementación del Modelo de Atención Integral en Salud, con el fin establecer la actividades incumplidas y acciones inmediatas que permita garantizar la continuidad en los servicios, notifica al grupo de seguimiento y evaluación DIGSA para realizar el respectivo plan de mejoramiento y seguimiento de este.</t>
  </si>
  <si>
    <t>2.2. Grupo Gestión de la Información - GRUGI</t>
  </si>
  <si>
    <t>limitada información para la toma de decisiones</t>
  </si>
  <si>
    <t xml:space="preserve">
deficiencia en la calidad de la información,  generada por las diferentes Áreas y Grupos de trabajo de la DIGSA.</t>
  </si>
  <si>
    <t>Posibilidad de afectación reputacional y económica por la limitada información para la toma de decisiones  debido a la deficiencia en la calidad de la información,  generada por las diferentes Áreas y Grupos de trabajo de la DIGSA.</t>
  </si>
  <si>
    <t xml:space="preserve"> - Transferencia de conocimiento
 - Falta de repositorioríos de instructivos para informes
 - Falta de aplicación del procedimiento en la entrega de puestos
 - Falla en la gestión del procedimiento para cambio en los roles asignados en los sistemas de información 
 - Deficiencia en el acceso, oportunidad, disponibilidad, integralidad, confidencialidad, seguridad y divulgación de la información del SSFM.
 - Oportunidad en la entrega y deficiencia en la calidad de la información generada en las Áreas y Grupos de Trabajo de la DIGSA.
 - Deficiencia en la coherencia de los soportes en relación con los productos.</t>
  </si>
  <si>
    <t xml:space="preserve"> - Información deficiente para la toma de decisiontes y planeación institucional.
 - Generar productos que no estan acorde a la realidad institucional.
 - Falta de continuidad en el flujo y uso de la información.</t>
  </si>
  <si>
    <t xml:space="preserve">El responsable de gestión de la información realiza la calendarización anualmente por medio de los lineamientos y documentos establecidos por GRUGI, solicitando actualización al documento flujo de información a todas los Grupos y Áreas de la DIGSA acorde a la circular emitida por el proceso, una vez se recepción la información se revisa la actualización la matriz flujo de información, se realiza retroalimentación de acuerdo con las novedades presentadas. </t>
  </si>
  <si>
    <t>El responsable de gestión de la información realiza por medio de Power Apps notificaciones mensuales acorde a la programación de los productos a cargar, generando alerta a los correos institucionales de los responsables asignados por los Coordinadores y lideres de procesos, si la información no se carga se notifica nuevamente indicando incumplimiento y cargue inmediato de la información.</t>
  </si>
  <si>
    <t>El responsable de gestión de la información realiza la verificación en la aplicación, el cargue y el indicador de oportunidad de entrega de la información, notificando a aquellos procesos que se encuentren en estado pendiente para el cargue de sus productos. Los coordinadores de cada grupo y/o área realizaran la validación del producto cargado para medir el indicador de coherencia de la información, notificando a aquellos lideres y/o gestor de calidad responsable que el producto cargado no cumple, para que realicen el cargue del producto con los criterios establecidos para los productos.</t>
  </si>
  <si>
    <t>El responsable de gestión de la información realiza informe trimestral de Seguimiento a los reportes e indicadores en la calendarización para la vigencia, presentando informe al Subdirector Técnico, informando el monitoreo del flujo de información. En caso de presentarse incumplimiento al cargue de la calendarización por parte de los grupos y áreas, se realiza acciones de mejora con el fin de cumplir con la programación proyectada. Soporte de Control: Informe Trimestral Calendarización.</t>
  </si>
  <si>
    <t>El responsable de gestión de la información realiza capacitación a los responsables de cargue de información y coordinadores de acuerdo a los cambios de personal, iguamente se realiza retroalimentación en las actualizaciones por cambios normativo y/o funcionales.</t>
  </si>
  <si>
    <t>El Coordinador del Grupo Gestión de la información realiza retroalimentación con los Coordinador, gestores de calidad de los diferentes grupos de trabajo, sobre el diligenciamiento de los documentos Matriz Flujo de Información en Salud DIGSA, Formato de Uso de las Salidas o Productos DIGSA, documento de trabajo interacción de procesos.
El gestor de calidad de grupos de trabajo realiza la retroalimentación a sus líderes de procesos para el cumplimiento de cargue de información de acuerdo con la programación aprobada.
Realizar notificación al gestor de calidad y líderes de procesos de la información pendiente de cargue, relacionando los productos y periodicidad.</t>
  </si>
  <si>
    <t>3.4. Grupo Prestación y Operación de Servicios de Salud - GROSD</t>
  </si>
  <si>
    <t>demandas, quejas de los usuarios del Subsistema de Salud de las fuerzas militares por afectación en la prestación  y operación de servicios de salud</t>
  </si>
  <si>
    <t>politicas, lineamientos fuera del marco normativo y/o adherencia de las mismas que afectan la prestación de los servcios de salud.</t>
  </si>
  <si>
    <t xml:space="preserve">
1. Incumplimiento de los lineamientos emitidos por grupo prestación y operación de servicios GROSD.
2. Normatividad interna sin el sustento juridico.
3. Desactualización normativa.</t>
  </si>
  <si>
    <t>1. Intervención por parte de los entes de control (Minsalud, entes Territoriales, Contraloría y Supersalud) por incumplimiento en los objetivos estratégicos.
2. demandas por incumpliento en la prestación de servicios.</t>
  </si>
  <si>
    <t>El Grupo Prestación y Operación de Servicios de Salud liderado por el Coordinador, revisa periódicamente los cambios normativos que apliquen al Subsistema de Salud de las Fuerzas Militares dentro de los procesos de prestación de servicios de salud, realizando la actualización de lineamientos y políticas, presentados ante el Comité técnico de Revisión de Lineamientos DIGSA. para su revisión y aprobación, una vez sean validados son socializadas a las Direcciones de Sanidad Ejército, Armada y Jefatura de Salud Aeroespacial para su implementación en la prestación de servicios de salud a los usuarios del SSFM.</t>
  </si>
  <si>
    <t>El Grupo Prestación y Operación de Servicios de Salud  liderado por el Coordinador realiza seguimiento a la implementación de los lineamientos, manuales, protocolos para la prestación de los servicios de salud, por medio de la verificación y análisis de la información suministrada por la Direcciones de Sanidad Militar, en caso de incumplimiento se realiza las acciones de mejora. Soporte de Control: Informe Trimestral de Seguimiento.</t>
  </si>
  <si>
    <t>El Grupo Prestación y Operaciòn de Servicios de Salud  liderado por el Coordinador realiza mesas de trabajo con la DISAN EJC, ARC y JEFSA para verificar el lineamiento antes de ser emitido, en caso de generarse observaciones se realizan ajustes y se remite nuevamente al Comite Tecnico de Revision de lineamientos DIGSA.</t>
  </si>
  <si>
    <t xml:space="preserve">El Grupo Prestación y Operaciòn de Servicios de Salud  liderado por el Coordinador,socializa los lineamientos emitidos a DISAN EJC, ARC y JEFSA los cuales a su vez deberan socializar a sus Establecimiebtos de Sanidad y verificar la adherencia a los mismos. </t>
  </si>
  <si>
    <t xml:space="preserve">El Grupo Prestación y Operaciòn de Servicios de Salud  liderado por el Coordinador, una vez identificada la materialización del riesgo, se realizaran mesas de trabajo para se actualizar o derogara la norma según corresponda. Lo anterior se realizara mediante un acto administrativo previa verificación del comite Comite Tecnico de Revision de lineamientos DIGSA. </t>
  </si>
  <si>
    <t>4.4. Grupo Apoyo Administrativo - GRUAA</t>
  </si>
  <si>
    <t>Efecto dañoso sobre bienes públicos por pérdida de inventario por mal uso y/o disposición</t>
  </si>
  <si>
    <t>Incumplimiento de los lineamientos del Manual de Bienes del Ministerio de Defensa Nacional.</t>
  </si>
  <si>
    <t>Posibilidad de efecto dañoso sobre bienes públicos por pérdida de inventario por mal uso y/o disposición, a causa de la omisión en la aplicación de  los lineamientos del Manual de Bienes del Ministerio de Defensa Nacional.</t>
  </si>
  <si>
    <t>1. Falta de control en el ingreso y/o salida de bienes del almacén (Factor interno).
2. Pérdida de inventario dado el manejo indebido o desviación de los bienes asignados (Factor interno).
3. Falta de capacitación en la administración del inventario físico y en SAP (Factor interno).</t>
  </si>
  <si>
    <t>1. Desabastecimiento de bienes para el suministro oportuno de las necesidades de la DIGSA.
2. Sanciones de entes de control, investigaciones disciplinarias y administrativas.
3. Afectación de la póliza, por solicitud de reposición de bienes.
4. Detrimento patrimonial de bienes públicos.</t>
  </si>
  <si>
    <t>El Jefe de Inventarios, previa información recibida por el Almacenista, realiza comunicación bimensualmente a los coordinadores sobre el inventario actual registrado en SAP, para su revisión, aprobación y/o registro de novedades, las cuales deberán ser soportadas mediante los formatos establecidos (reintegro, reasignación, actas), teniendo en cuenta los lineamientos del Manual de Bienes del Ministerio de Defensa Nacional, en caso de encontrar inconsistencias se deberá reportar el activo faltante y/o verificar la ubicación del mismo soportado en un acta de traslado o baja.</t>
  </si>
  <si>
    <t>El Almacenista realiza los movimientos del inventario en sistema SAP de acuerdo con las solicitudes de ingreso y entrega de bienes por parte de cada una de las áreas, verificando el cumplimiento del registro en el formato institucional, realizando la actualización dentro del sistema SAP, en caso de encontrar inconsistencias se solicita verificación y actualización del estado del bien soportado con el respectivo registro.  Soporte de Control Informe trimestral de gestión de inventario.</t>
  </si>
  <si>
    <t>El Almacenista, realiza anualmente la verificación del inventario en los diferentes centros de costo mediante toma física, soportado en el reporte de inventario generado por el sistema SAP de acuerdo con los lineamientos del Manual de Bienes del Ministerio de Defensa Nacional, registrando las novedades u observaciones en el formato institucional acta de revista y enviando comunicación electrónica del acta al responsable del centro de costo con el fin de subsanar las novedades encontradas y actualizar su inventario.</t>
  </si>
  <si>
    <t>El Gestor de Calidad, mantendrá la mejora continua, a través de la revisión y análisis semestralmente de los procedimientos del Proceso de Apoyo Administrativo, realizando los ajustes respectivos cuando sean necesarios, los cuales son enviados al grupo de Planeación estratégica - área de sistemas integrados de gestión.</t>
  </si>
  <si>
    <t>Evaluar trimestralmente la gestión del inventario, a través del análisis del comportamiento y novedades de este, teniendo en cuenta los lineamientos del Manual de Bienes del Ministerio de Defensa Nacional, generando alertas frente a las novedades del inventario. La fuente para el análisis se basa en la ejecución de los procedimientos asociados y en los movimientos de inventario registrados en   SAP. Responsable: Jefe de Bienes en Servicio con supervisión del Coordinador del Grupo de Apoyo Administrativo.</t>
  </si>
  <si>
    <t>Elaborar una investigación preliminar, que permita identificar lo sucedido y responsables de la pérdida de inventario por mal uso y/o disposición, debido al incumplimiento de los lineamientos del Manual de Bienes del MDN, soportado en las siguientes actividades:
Realizar el conteo físico respectivo que permita comprobar la pérdida de inventario, comparando existencia física vs reporte de existencia en SAP, realizar conciliación contable, obtener argumentos de los responsables de los faltantes identificados y notificar a quienes corresponda.
Elaborar un informe integral, donde se den a conocer las causas, estado del inventario, impacto y oportunidad de  mejora, derivados de la pérdida de inventario.</t>
  </si>
  <si>
    <t>Afectación económica y reputacional por sanciones de entes de control.</t>
  </si>
  <si>
    <t>Inadecuada gestión y omisión de los lineamientos establecidos para el manejo de caja menor.</t>
  </si>
  <si>
    <t>Posibilidad de afectación económica y reputacional por sanciones de entes de control debido a la inadecuada gestión y omisión de los lineamientos establecidos para el manejo de caja menor.</t>
  </si>
  <si>
    <t>1. Falta de control en la administración  de los recursos de caja menor (Factor interno).
2. Pérdida de efectivo de la caja menor dado el manejo indebido o desviación de los recursos asignados (Factor interno).
3. Falta de capacitación en la administración de la caja menor y los aplicativos asociados como el SIIF y SAP (Factor interno).</t>
  </si>
  <si>
    <t>1. Sanciones de entes de control, investigaciones disciplinarias y administrativas.
2. Afectación de la póliza, por solicitud de reposición de efectivo faltante.
3. Afectación de la imagen y credibilidad de la DIGSA</t>
  </si>
  <si>
    <t>El Coordinador del Grupo Apoyo Administrativo, verifica el saldo en efectivo de la caja menor, a través del arqueo asociado al reembolso mensual, registrando en acta el conteo del efectivo disponible Vs dinero en la cuenta de caja mejor, reembolsos y facturas, y los respectivos hallazgos si es el caso.</t>
  </si>
  <si>
    <t>Realizar trimestralmente, informe de la ejecución de la caja menor, soportado en los diferentes arqueos y documentos asociados al procedimiento. Responsable: Cuentadante con supervisión del Coordinador del Grupo de Apoyo Administrativo.</t>
  </si>
  <si>
    <t>Elaborar una investigación preliminar, que permita comprobar la pérdida de recursos de caja menor debido a la no aplicación de los lineamientos establecidos para el manejo de esta y los responsables de dicha pérdida, soportado en las siguientes actividades.
Realizar arqueo y conciliación de caja menor, obtener argumento del Cuentadante y notificar a quienes corresponda.
Elaborar  un informe integral, donde se den a conocer las causas, estado de la caja menor, impacto y oportunidad de  mejora, derivados de la pérdida de recursos de la caja menor.</t>
  </si>
  <si>
    <t>El Cuentadante aplica los lineamientos establecidos en el Procedimiento para el manejo de recursos de la caja menor y la Resolución de constitución de la misma, de acuerdo  con las solicitudes presentadas, soportado en la resolución de reembolso mensual y/o periódico. Soporte de Control: Informe trimestral de caja menor.</t>
  </si>
  <si>
    <t>Afectación económica y reputacional, por no suplir de manera efectiva las necesidades administrativas y logísticas de la DIGSA</t>
  </si>
  <si>
    <t>Inadecuada planeación en la proyección de los recursos presupuestales en el plan de compras para las actividades de apoyo administrativo durante la vigencia.</t>
  </si>
  <si>
    <t>Posibilidad de afectación económica y reputacional, por no suplir de manera efectiva las necesidades administrativas y logísticas de la DIGSA, debido a la inadecuada planeación en la proyección de los recursos presupuestales en el Plan de Compras para las actividades de apoyo administrativo durante la vigencia.</t>
  </si>
  <si>
    <t xml:space="preserve"> 1. Falta de control y seguimiento en la ejecución del presupuesto asignado (Factor interno).</t>
  </si>
  <si>
    <t xml:space="preserve">1. Desabastecimiento de bienes para el suministro oportuno de las necesidades de la DIGSA.
2. Sanciones de entes de control, investigaciones disciplinarias y administrativas. </t>
  </si>
  <si>
    <t>El Coordinador del Grupo Apoyo Administrativo, realiza la proyección anual de las necesidades dentro del plan de compras, requeridas para ejecución de actividades de apoyo administrativo de la vigencia, de acuerdo con los lineamientos establecidos para su construcción por el Grupo de Planeación Estratégica.</t>
  </si>
  <si>
    <t>Realizar el Plan de Compras para las actividades de apoyo administrativo, presentado a la oficina de Planeación, acorde con los lineamientos establecidos.
Responsable: Coordinador del Grupo de Apoyo Administrativo</t>
  </si>
  <si>
    <t>Elaborar una investigación preliminar, que permita identificar la falta de planeación por no suplir de manera efectiva las necesidades administrativas y logísticas de la DIGSA, debido a la inadecuada proyección de los recursos presupuestales en el plan de compras para las actividades de apoyo administrativo durante la vigencia, soportado en las siguientes actividades.
Validar y reportar el resultado de la planeación de las necesidades administrativas y logísticas de la DIGSA, obtener argumentos de los responsables y notificar a quienes corresponda.
Elaborar un informe integral, donde se den a conocer las causas, estado de la proyección de las necesidades administrativas y logísticas de la DIGSA, impacto y oportunidad de mejora, derivados de la falta de planeación.
Solicitar al Director General de Sanidad Militar traslado del rubro aprobado en el plan de compras informando de que rubro se contra acredita, justificado técnicamente y/o solicitar adición al rubro presupuestal desfinanciado.</t>
  </si>
  <si>
    <t>2.1.  Grupo Gestión de la Afiliación - GRUGA</t>
  </si>
  <si>
    <t>Quejas de los grupos de valor</t>
  </si>
  <si>
    <t>Equivocación en el Ingreso de la información de los afiliados al sistema del SSFM</t>
  </si>
  <si>
    <t>Posibilidad afectación reputacional por quejas de los grupos de valor debido a la equivocación en el ingreso de la información de los afiliados al sistema del SSFM</t>
  </si>
  <si>
    <t>1. Deficiencia de calidad y veracidad de la información a suministrar.
2. Aplicación de los lineamientos para el manejo del registro de la información.
3. Omisión de la información de los datos por parte del afiliado.
4. No disponibilidad de la herramienta tecnológica de cara al afiliado para la actualización de la información.
5. Falta de información de entidades empleadoras y aportantes para la activación del servicio.</t>
  </si>
  <si>
    <t>1. Inoportunidad en la toma de decisiones por los procesos que la requieren debido a la calidad de la Información.
2. Falta de interoperabilidad con los procesos de la entidad.
3. No prestación del servicio de salud
4. Limitación a las demás áreas para ejecutar sus actividades de acuerdo con la información del afiliado para la prestación del Servicio.
5. Afiliación múltiple con otros regímenes de salud.
6. Reclamaciones o quejas de los usuarios que podrían implicar demanda ante los entes reguladores de largo alcance para la entidad.</t>
  </si>
  <si>
    <t>El responsable de Gestión de la Afiliación realiza el diligenciamiento del formato compromiso de reserva y la confidencialidad de la información a los funcionarios con acceso al módulo de afiliaciones, una vez al año o cuando se presenten novedades de personal en el Grupo Gestión de la Afiliación. En caso de que el funcionario no firme los acuerdos el administrador del sistema no realiza activación de los servicios en el Sistema SaludSIS, lo anterior se soporta en los formatos de compromiso firmados y custodiados por el Coordinador del Grupo Gestión de la Afiliación GRUGA</t>
  </si>
  <si>
    <t>El responsable de Gestión de la Afiliación asigna a través del Líder Funcional del Módulo Afiliaciones de SaludSIS, el control de asignación de roles para el manejo y acceso a la base datos e información del Módulo Afiliaciones de Salud.SIS, a los funcionaros cuando ingresan o se presenta novedades de personal por cambio de proceso o retiro, registrando en el formato de creación o modificación de usuarios SaludSIS. No se activa ningún usuario sin la autorización del Coordinador Grupo Gestión de la Afiliación.</t>
  </si>
  <si>
    <t>El responsable de la Gestión de la Afiliación realiza auditoria al Módulo de Afiliaciones SaludSIS a través de log de auditoria aleatoriamente, verificando los movimientos realizados de acuerdo a los roles y permisos asignados, en caso de encontrar inconsistencias se realiza comunicación al funcionario para verificar las transacciones realizadas y las ajustes correspondientes de roles, permisos y cargue de información.</t>
  </si>
  <si>
    <t>El responsable de Gestión de la Afiliación realiza reinduccion mensual de la normatividad vigente sobre tratamiento de información, a los funcionarios responsables del proceso de afiliación, registrando en Acta los compromisos y actividades a desarrollar.
Soporte de Control: Acta de Capacitación</t>
  </si>
  <si>
    <t>El Coordinador del Grupo de gestión de la afiliación informa al responsable de registro de ingresos de información de afiliados de SALUD.SIS, las novedades encontradas con fin de que sean subsanadas y actualizadas en la base de datos.</t>
  </si>
  <si>
    <t>Uso indebido de información</t>
  </si>
  <si>
    <t>Registrada en los aplicativos y Base Datos de Afiliados SSFM para beneficio propio o de terceros.</t>
  </si>
  <si>
    <t>Posibilidad  uso indebido de información registrada en los aplicativos y Base Datos de Afiliados SSFM para beneficio propio o de terceros.</t>
  </si>
  <si>
    <t>1. Manejo indebido de la información almacenada en  la Base Datos de Afiliados al SSFM con permisos de acceso para favorecimiento propio y/o de un tercero.
2. Interés de obtener un beneficio particular o beneficiar a terceros.
3. Falta de ética y aplicación de valores institucionales.
4. No aplicar las políticas de uso y tratamiento de información.</t>
  </si>
  <si>
    <t>1. Detrimento patrimonial de la entidad por favorecimiento a terceros.
2. Favorecimiento de terceros.
3. Registrar información no verdadera, falta de compromiso institucional.
4. Registrar información no verdadera</t>
  </si>
  <si>
    <t>El Responsable de Gestión de la Afiliación realiza capacitación sobre el manejo y tratamiento de datos personales la cual se registra en un acta con los temas presentados y los compromisos adquiridos. 
Soporte de Control: Acta de Capacitación</t>
  </si>
  <si>
    <t>Realizar la inactivación del rol en el módulo de afiliaciones de SALUD.SIS, por el líder funcional, notificando mediante correo electrónico los permisos y la novedad de cambio de rol.
Revisar el log de auditoria del módulo de afiliaciones SALUD.SIS, establecer los movimientos realizados por el funcionario responsable.</t>
  </si>
  <si>
    <t>Recibir o solicitar cualquier dádiva o beneficio a nombre propio o de terceros</t>
  </si>
  <si>
    <t>Realizar afiliaciones al Subsistema de Salud de las Fuerzas Militares sin el cumplimiento de requisitos</t>
  </si>
  <si>
    <t>Posibilidad de recibir o solicitar cualquier dádiva o beneficio a nombre propio o de terceros por realizar afiliaciones al Subsistema de Salud  de las Fuerzas Militares sin el cumplimiento de requisitos</t>
  </si>
  <si>
    <t>1. Realizar afiliaciones al Subsistema de Salud de las Fuerzas Militares sin el lleno de requisitos de acuerdo a lo normatividad vigente.
2. Trafico de influencia para el registro de beneficiarios al Subsistema de Salud de las  Fuerzas Militares</t>
  </si>
  <si>
    <t>1. Perdida de la imagen institucional
2. Procesos Disciplinarios
3. Demandas Grupos de Valor e Interés
4. Sanciones Entes de Control y Vigilancia</t>
  </si>
  <si>
    <t xml:space="preserve">El responsable de Gestión de la Afiliación realiza el diligenciamiento del formato compromiso de reserva y la confidencialidad de la información a los funcionarios con acceso al módulo de afiliaciones, una vez al año y/o cuando se presente novedades de personal de grupo gestión de la afiliación,  en caso del funcionario que no firme los acuerdo el administrador del sistema no realiza la respectiva activación de los servicios en el Sistema SALUD.SIS, lo anterior se soporta en los formatos de compromiso firmados y custodiados por el Coordinador del Grupo gestión de la afiliación GRUGA. </t>
  </si>
  <si>
    <t>El responsable de Gestión de la Afiliación realiza permanentemente depuración de base de datos con el fin de identificar los posibles casos de afiliaciones múltiples y cumplimiento de requisitos, realizando notificación a los usuarios y verifica mediante el log de auditoria en el Sistema de Información SALUD.SIS el funcionario responsable que realizo la afiliación, una vez identificado se procede a validar y realizar los ajustes correspondientes, en caso de omisión se reporta ante la línea anticorrupción de la Dirección General de Sanidad Militar para su respectivo tramite.</t>
  </si>
  <si>
    <t>Realizar el reporte de ingresos y novedades del SSFM ante la ADRES, para cruce de Base de Datos de Afiliados y beneficiarios, el resultado es un reporte de las novedades encontradas</t>
  </si>
  <si>
    <t>09/02/2024
08/03/2024
10/04/2024
10/05/2024
11/06/2024
10/07/2024
09/08/2024
10/09/2024
10/10/2024
12/11/2024
10/12/2024
10/01/2025</t>
  </si>
  <si>
    <t>El Coordinador del Grupo de gestión de la afiliación notifica mediante oficio de la Dirección General de Sanidad Militar a las EPS del sistema general de salud de seguridad social, las afiliaciones múltiples detectadas con el fin de que sean subsanadas.
El Coordinador del Grupo de gestión de la afiliación realiza notificación al usuario mediante el sistema de SALUD.SIS, a los beneficiarios informando el inicio del periodo de la protección médica para subsanar la multi afiliación, a los cotizantes y no cotizantes se realiza una notificación a través del aplicativo SALUD.SIS informativa para subsanar las novedades que se presenten o afiliaciones múltiples.</t>
  </si>
  <si>
    <t>3.2. Grupo Gestión del Riesgo en Salud - GRERI</t>
  </si>
  <si>
    <t>intervención de entes de control</t>
  </si>
  <si>
    <t>Intervención inoportuna de los factores de riesgos de los afiliados al SSFM</t>
  </si>
  <si>
    <t>Posibilidad afectación reputacional por sancion de entes de control debido a la Intervención inoportuna de los factores de riesgos de los afiliados al SSFM</t>
  </si>
  <si>
    <t>1. Falta de un sistema de información integral que permita en tiempo real la generación de datos para la analisis y toma de decisiones.
2. Incumplimiento de los lineamientos emitidos por la Gestión del Riesgo en Salud , Garantía de la calidad y prestación de Servicios del SSFM
3. Identificación tardía de los riesgos que presentan los afiliados.
4. Insuficiencia de la Red de Servicios de Salud.
5, Desconocimiento de los usuarios adscritos en el ESM y la población militar flotante en el territorio.
6. Falta de Compromiso por parte del usuario.</t>
  </si>
  <si>
    <t>1. Intervención por parte de los entes de control (Minsalud, entes Territoriales, Contraloría y Supersalud) por incumplimiento en los objetivos estratégicos.
 2. Aumento de la morbilidad y sobrecostos en la atención.
3. Incumplimiento en las coberturas establecida en la normatividad aplicable al SSFM.</t>
  </si>
  <si>
    <t>El Responsable de Riesgos en Salud realiza seguimiento de acuerdo a los cortes de entrega de información por los procesos transversales de apoyo, de la ejecución y aplicación de los lineamientos, mediante  Informes de la operatividad y seguimiento relacionados con la prestación del servicio, la gestión del riesgo, la calidad de los servicios y la implementación del MATIS (GRERI - GROSD-GRUAS-PROGACAS), presentando un informe trimestral a las Direcciones de Sanidad y Jefatura Salud Fuerza Aeroespacial, y al Subdirector de Salud para sus visto bueno del análisis, en caso de presentar desviaciones en indicadores desde el proceso Gestión del Riesgos GRERI se emiten recomendaciones a las Direcciones de Sanidad con el fin de intervenir las desviaciones presentadas. Soporte del Control: Informe trimestral.</t>
  </si>
  <si>
    <t>El responsable de riesgos en salud monitorea la ejecución de las actividades referente a coberturas, demanda inducida, búsqueda actividad, actividades de información, comunicación y educación en cumplimiento de lo establecido normativamente, esta actividad se realiza de forma periódica, con el fin de identificar la posibles desviaciones e intervenirlas.</t>
  </si>
  <si>
    <t>El responsable de Riesgos en salud realiza campañas trimestrales de estrategias en materia de Información, Educación y Comunicación, promoción, detección y mantenimiento de la salud con el fin de identificar y mitigar los riesgos en salud de los afiliados, con la ejecución de estas actividades se busca impactar y crear en el usuario la conciencia del autocuidado. Soporte del Control: Informe trimestral de actividades realizadas.</t>
  </si>
  <si>
    <t>Apoyarse en la Base Maestra de información que permita la identificación del riesgo, usuarios enrutados, usuarios sin intervención en salud, con el fin de intervenir y gestionar los servicios</t>
  </si>
  <si>
    <t>MISIONAL</t>
  </si>
  <si>
    <t>Sanciones, multas y otras penalizaciones por manejo deficiente de aspectos e impactos ambientales</t>
  </si>
  <si>
    <t xml:space="preserve">
Incumplimiento de la normatividad y lineamientos por falta de aherencia de los lineamientos ambientales establecidos por parte de la DIGSA por:
</t>
  </si>
  <si>
    <t xml:space="preserve">1. Incumplimiento de la normatividad, lineamientos y  procedimientos definidos por la DIGSA
2. Debilidad en el presupuesto de la DIGSA.
3. Falta de articulación del Sistema de Gestiòn Ambiental y Salud Ambiental.
</t>
  </si>
  <si>
    <t xml:space="preserve">
Sanciones, multas y otras penalizaciones por manejo deficiente de aspectos e impactos ambientales.
Posibilidad de cierre de ESM por no cumplimiento de la normatividad ambiental vigente.
No contar con los recursos suficientes para desarrollar las actividades de gestión ambiental.</t>
  </si>
  <si>
    <t>Posibilidad de afectación económica y reputacional por multas, sanciones de entes de control debido Incumplimiento de la normatividad, lineamientos y  procedimientos definidos por la DIGSA y la falta de articulación del Sistema de Gestión Ambiental y Salud Ambiental en las DIGSA- DISANES y JEFSA.</t>
  </si>
  <si>
    <t xml:space="preserve"> Incumplimiento de la normatividad y lineamientos aplicables en la DIGSA- DISANES y JEFSA </t>
  </si>
  <si>
    <t>Ejecucion y Administracion de procesos</t>
  </si>
  <si>
    <t xml:space="preserve">El responsable de Gestión Ambiental DIGSA define los lineamientos, políticas, programas ambientales de acuerdo a los requerimientos normativos, con fin de ser implementados en las Direcciones de Sanidad, Jefatura de Salud y establecimiento de sanidad militar, con el objetivo de cumplir con la normatividad ambiental y sanitario vigente.
</t>
  </si>
  <si>
    <t>El responsable de Gestión Ambiental DIGSA establece planes de trabajo de gestión ambiental con las DISANES y JEFSA, se realizará verificación trimestral de las actividades proyectadas, consolidando un informe de avance y ejecución. Soporte de Control: Informe de ejecución Plan de Trabajo Gestión Ambiental.</t>
  </si>
  <si>
    <t>El responsable de Gestión ambiental DIGSA, realiza asistencia técnica cuatrimestralmente, en las DISANES y JEFSA, y ESM, para la verificación del cumplimiento de las actividades del plan de trabajo de gestión ambiental, consolidando en un informe Seguimiento Plan de Gestión ambiental. Soporte de Control: Informe de Seguimiento cumplimiento actividades Plan de gestión ambiental</t>
  </si>
  <si>
    <t xml:space="preserve">El responsable de Gestión ambiental DIGSA concreta planes de mejoramiento con las DISANES, JEFSA y ESM, para la implementación del cumplimiento de lineamientos, políticas, programas ambientales de acuerdo a las observaciones del informe de seguimiento Plan de gestión ambiental. Soporte de Control: Plan de Mejoramiento ambiental.
</t>
  </si>
  <si>
    <t xml:space="preserve">Realizar capacitación mensual en las DISANES, JEFSA y ESM a los Coordinadores y/o responsables del área ambiental, sobre lineamientos, programas, y estrategias ambientales, para fortalecimiento del sistema de gestión ambiental e implementar Tips ambientales mediante la utilización de herramientas Tics.
OBJ. 1. Actualizar e implementar políticas y lineamientos para la gestión del aseguramiento y la
prestación de los Servicios de Salud
</t>
  </si>
  <si>
    <t>13/04/2023
07/07/2023
09/10/2023
10/01/2024</t>
  </si>
  <si>
    <t>Trimestral</t>
  </si>
  <si>
    <t xml:space="preserve">El responsable de Gestión Ambiental DIGSA, realiza comunicación con la Dirección de Sanidad, JEFSA, ESM responsable de la novedad o evento reportado por el ente control, para la revisión y verificación de los informado. La Dirección de Sanidad, JEFSA y ESM, deberá soportar técnicamente la justificación y/o pruebas que soporten la novedad o evento reportado con el fin de aclarar y sustentar la respuesta ante el ente de control.
Una vez consolidado las pruebas y/o justificación remitidas por las Direcciones de sanidad, JEFSA y ESM, se remite por competencia al Ministerio de Defensa Nacional para la gestión administrativa ante ente de control.
Para los casos de observaciones de entes de control derivados de visitas, se realiza plana de mejoramiento con las medidas correctivas.
</t>
  </si>
  <si>
    <t>3.5. Grupo Salud Operacional - GRUSO</t>
  </si>
  <si>
    <t>Afectación de la aptitud Psicofísica del personal Militar activo</t>
  </si>
  <si>
    <t>falta de Lineamientos que estandaricen la intervención de los riesgos operacionales</t>
  </si>
  <si>
    <t xml:space="preserve">
Posibilidad de afectación reputacional por disminución de la aptitud Psicofísica del personal Militar en el teatro de operaciones, debido a la falta de lineamientos para la gestión del riesgo operacional - SUBSA - GRUSO</t>
  </si>
  <si>
    <t>1. Falta de herramientas tecnológicas para la captura de la información e interoperabilidad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se contempla en el pensum la Catedra en Salud Operacional.
5. Adherencia a los lineamienstos de Salud Operacional por parte de las DISAN EJC, ARC, JEFSA y ESM.
6. Limitada identificación de la necesidades para el desarrollo del programa de Salud Operación desde las Direcciones de Sanidad EJC, ARC y JEFSA.
7. Identificación de la situación real de la aptitud Psicofísica del personal Militar activo.
8. Falla en la identificación de la necesidad para el desarrollo del programa de Salud Operación desde las Direcciones de Sanidad EJC, ARC y JEFSA.
9.  Inadecuada distribucción de los recursos asignados por parte de la Direcciones de Sanidad EJC, ARC, y JEFSA para el dsarrollo del programa de Salud Operacional.</t>
  </si>
  <si>
    <t>1. Debilidad en la captura de la información para la identificación de los riesgos para la toma de decisiones.
2. Desarticulación en la prestación de Servicio desde el asegurado (DIGSA) hasta el prestador del Servicio en Salud (DISAN EJC, ARC, JEFSA, ESM y UM).
3. Integralidad de la prestación del servicio en salud en cada uno ESM y UM.
4. Disminución del pie de fuerza en el teatro de operaciones por patologías prevenibles.</t>
  </si>
  <si>
    <t xml:space="preserve"> limitada apreciación y análisis en salud operacional del SSFM</t>
  </si>
  <si>
    <t>desconocimiento de la situación actual para la planeación y la logística médica del objetivo del Progrma de Salud Operacional</t>
  </si>
  <si>
    <t>Posibilidad de afectación reputacional por una limitada apreciación y análisis en salud operacional del SSFM debido al desconocimiento de la situación actual para la planeación y la logística médica del objetivo del Programa de Salud Operacional</t>
  </si>
  <si>
    <t>1. Falta de herramientas tecnológicas para la captura de la información e Inter operatividad de los sistemas de información entre la Fuerza y el SSFM.
2. Desconocimiento de costos operacionales de los procesos asistenciales de la red externa e interna del Personal Militar activo. 
3. Falta de identificación dentro de la TOE (Tabla de Organización y Equipo) de las Fuerzas Militares la estructura del programa de Salud Operacional.
4. Dentro del programa de las Escuelas de Formación Militar no contempla dentro del pensum la Catedra en Salud Operacional.
5. Falta de capacitación del personal que maneja los procesos de Salud Operacional en la DISAN EJC, ARC, JEFSA y ESM.
6. Falla en la identificación de la necesidad para el desarrollo del programa de Salud Operación desde las Direcciones de Sanidad EJC, ARC y JEFSA.</t>
  </si>
  <si>
    <t>1. Imprecisión de la situación real de la aptitud Psicofísica del personal Militar activo.
2. No pertinencia para la toma de decisiones asertivas.
3. Desarticulación en la prestación de Servicio des del asegurado (DIGSA) hasta el prestador del Servicio en Salud (DISAN EJC, ARC, JEFSA, ESM y UM).
4. Limita la prestación del servicio en salud en cada uno de los ESM y UM.
5. Falta de comunicación con los procesos de la DIGSA que permita la integración y despliegue de actividades en Salud Operacional del SSFM.
6. Rotación del personal Militar, afectando el direccionamiento, continuidad y desarrollo de las actividades del proceso.</t>
  </si>
  <si>
    <t>El responsable del Grupo de Salud Operacional realiza mesas de trabajo trimestralmente de acuerdo con la necesidad de los actores involucrados para la estructuración del Lineamiento de Riesgo Operacional, que impacta directamente al personal Militar activo (COGFM, DIGSA, DISAN EJC, ARC y JEFSA, SGSST y MEDICINA LABORAL), realizando seguimiento y control de las tarea y actividades designadas en cada mesa de trabajo.  Soporte del Control: Acta mesa de trabajo y/o Directiva y/o Circular y/o Plan.</t>
  </si>
  <si>
    <t>El Grupo de Salud Operacional - área de riesgo operacional, realiza informe de análisis de diagnósticos de eventos en salud de heridos dentro y fuera de combate y medicina laboral del personal militar con el fin de conocer y fortalecer el diagnóstico y generar estrategias en la gestión del riesgo operacional. Se soporta en un informe cuatrimestralmente y semestral dirigido a los segundos comandantes de las FFMM. Soporte del Control: Informe Cuatrimestral y semestral.</t>
  </si>
  <si>
    <t>El responsable del Grupo de Salud Operacional - área salud operacional analiza trimestral, cuatrimestral y semestral la situación de la salud operacional a partir de la inteligencia médica, con el fin de identificar las necesidades y tener un diagnostico que permita el planeamiento y logística medica en salud operacional, generando un informe final anual el cual se presenta al DISAN EJC, ARC y JEFSA. Soporte del Control:  Informes trimestrales e informe anual final.</t>
  </si>
  <si>
    <t>El Responsable del Grupo de Salud Operacional - área salud operacional realiza actualización de lineamiento, emisión de recomendaciones, con base a la apreciación y análisis en salud operacional, con el fin de que las   DISAN EJC, ARC y JEFSA realicen acciones de mejora o estrategias para reducir el impacto del riesgo en salud operacional. La actividad se realiza a demanda y por necesidad de los identificado. Soporte del Control: En el seguimiento trimestral se debe realizar justificación del control y/o actividades realizadas.</t>
  </si>
  <si>
    <t>Realizar acciones de información, educación y comunicación referente a estadísticas semestrales de eventos en salud frente a la población militar activa, dirigido a los SSFM y FFMM, con el objetivo de conocer los riesgos en salud de acuerdo a la misionalidad de cada fuerza, estableciendo estrategias de mitigación.</t>
  </si>
  <si>
    <t>El Grupo de Salud Operacional - área de riesgo operacional en conjunto con el Comando General de las Fuerzas Militares realiza una análisis para definir acciones que permitan la mitigación del riesgos operacional.</t>
  </si>
  <si>
    <t>El Grupo de Salud Operacional - área de salud  operacional en conjunto con las DISAN EJC, ARC y JEFSA. realiza una análisis para definir acciones que permitan identificar la correcta aprecaición y analisis en salud operacional.</t>
  </si>
  <si>
    <t>4.3. Grupo Contratación - GRUCO</t>
  </si>
  <si>
    <t xml:space="preserve">demandas, procesos disciplinarios o penales </t>
  </si>
  <si>
    <t>celebración de  contratos sin aplicar de manera correcta los principios y disposiciones de la contratación estatal</t>
  </si>
  <si>
    <t>Posibilidad de afectación reputacional por demandas, procesos disciplinarios o penales debido a la celebración de  contratos sin aplicar de manera correcta los principios y disposiciones de la contratación estatal</t>
  </si>
  <si>
    <t xml:space="preserve">1. Falta de conocimiento y capacitación con respecto a los principios y disposiciones que rigen el ejercicio de la función administrativa
2. Falta de seguimiento y control a los procesos contractuales.         </t>
  </si>
  <si>
    <t>1. Falta de transparencia en la contratación / Investigaciones disciplinarias o penales.</t>
  </si>
  <si>
    <t>sanciones disciplinarias</t>
  </si>
  <si>
    <t>inadecuado control del archivo de gestión de los expedientes contractuales</t>
  </si>
  <si>
    <t>Posibilidad afectación reputacional por sanciones disciplinarias debido al inadecuado control del archivo de gestión de los expedientes contractuales</t>
  </si>
  <si>
    <t>1. Perdida del expediente contractual.
2. Incumplimiento a los requerimiento de  los entes de control.</t>
  </si>
  <si>
    <t xml:space="preserve">1. Sanciones disciplinarias </t>
  </si>
  <si>
    <t xml:space="preserve"> recibir o solicitar cualquier dádiva o beneficio</t>
  </si>
  <si>
    <t>alteración o modificación  de la información relacionada en: estudios previos, pliego de condiciones, en adendas al pliego de condiciones o en evaluaciones de las propuestas, para favorecimiento propio o beneficio  de terceros.</t>
  </si>
  <si>
    <t>Posibilidad de  recibir o solicitar cualquier dádiva o beneficio debido a  la alteración o modificación  de la información relacionada en: estudios previos, pliego de condiciones, en adendas al pliego de condiciones o en evaluaciones de las propuestas, para favorecimiento propio o beneficio  de terceros.</t>
  </si>
  <si>
    <t>1. Celebrar contratos de adquisición de bienes y servicios sin estar incluidos y debidamente autorizados en el plan anual de adquisiciones.
2. Incumplimiento de compromisos (Plan de acción, en el Plan de Adquisición de Bienes y Servicios).
3. Deficiencias en el planeamiento por parte de las diferentes Subdirecciones y Grupos de la DIGSA
Tráfico de influencias</t>
  </si>
  <si>
    <t>1. Reprocesos en la etapa contractual y postcontractual.
2. Pérdida de recursos.
Posibles sanciones legales y disciplinarias.
3. Hallazgos y observaciones con posible incidencia disciplinaria por parte de entes de control.
4. Demandas judiciales en contra de la entidad.</t>
  </si>
  <si>
    <t xml:space="preserve">efecto dañoso sobre recursos públicos </t>
  </si>
  <si>
    <t>falencias en la estructuracion de las necesidades y/o requerimientos tecnicos en los estudios previos por parte de comites estructuradores tecnicos</t>
  </si>
  <si>
    <t>Posibilidad de efecto dañoso sobre recursos públicos a causa de falencias en la estructuración de las necesidades y/o requerimientos técnicos en los estudios previos por parte de comités estructuradores técnicos</t>
  </si>
  <si>
    <t>1. Mala planeación por parte de los gerente de los proyectos y comité tecnico estructurador.
2. Falencias o ausencia de estudio del mercado y/o análisis del sector, que genera sobrecostos o pagos  por parte del comité tecnico estructurador.                    3 Falencias o ausencia de gestion y control durante la ejecucion y posterior liquidacion o terminacion de los contratos celebrados por parte de la supervision y gerencia para cada caso.</t>
  </si>
  <si>
    <t xml:space="preserve">1. Detrimento patrimonial sobre bienes publicos.
2. Sanciones de entes de control y vigilancia.
</t>
  </si>
  <si>
    <t xml:space="preserve"> ejecución parcial del objeto contractual y su autorización de pago a causa de deficiencias en las funciones de supervisión y/o interventoría.</t>
  </si>
  <si>
    <t>Posibilidad de efecto dañoso sobre recursos públicos por la ejecución parcial del objeto contractual y su autorización de pago a causa de deficiencias en las funciones de supervisión y/o interventoría.</t>
  </si>
  <si>
    <t>1. Deficiencia de competencias y habilidades para ejercer la supervisión del contrato
2. Fallas en el suministro de información para la realización del objeto contractual.
3. Falencias en la estructuración de los requerimientos técnicos en la construcción de los estudios previos.</t>
  </si>
  <si>
    <t xml:space="preserve">1. Detrimento patrimonial sobre bienes publicos.
2. Sanciones de entes de control y vigilancia.
</t>
  </si>
  <si>
    <t>El responsable del grupo de contratación realiza mesas de trabajo semestral al personal de la DIGSA y Direcciones de Sanidad y JEFSA, sobre principios de contratación y disposiciones establecidos en la ley, registrando temática, asistencia y compromisos. Producto del Control: Informe Semestral de Capacitación.</t>
  </si>
  <si>
    <t>El responsable del grupo de contratación realiza seguimiento mensual de los procesos contractuales adelantados por el GRUCO, registrando en un informe al Señor Director de la Dirección de Sanidad Militar, en reunión administrativa de seguimiento, regenerando actas de compromisos y ordenes de cumplimiento, instrucciones en la ejecución del plan de compras.  Soporte de Control: Acta mensual de reunión administrativa.</t>
  </si>
  <si>
    <t>El responsable del grupo de contratación realiza seguimiento trimestral de la ejecución del plan de compras del Subsistema de Salud de las Fuerza Militares, soportado en informe trimestral presentado al Señor Director de la Dirección General de Sanidad Militar. Soporte de Control: Informe trimestral de seguimiento procesos contractuales.</t>
  </si>
  <si>
    <t>El Gestor documental del proceso aplica las herramientas archivísticas y verifica los controles de acceso y custodia del archivo de gestión, registrado en la herramienta archivista formato único de inventario documental. Soporte del Control: Inventario Documental.</t>
  </si>
  <si>
    <t>El Gestor documental realiza la transferencia de expedientes acorde a los lineamientos establecidos por el proceso de gestión documental, registrando el acta transferencia de acuerdo con el cronograma establecido para la vigencia por proceso gestión documental. Soporte Acta de Transferencia gestión documental GRUCO.</t>
  </si>
  <si>
    <t>El responsable de Gestiòn Contractual realiza reuniones de seguimiento mensual del avance de la gestiòn documental de la vigencia, se soporta con acta de reunion: Soporte del Contro: Acta de Reuniòn GRUCO.</t>
  </si>
  <si>
    <t>El responsable del grupo de contratación realiza verificación de los estudios previos que cumpla con las especificaciones, técnicas, económicas y jurídicas que cumpla con el proceso, registrado en la plataforma SECOP II, para lo cual se realiza observaciones al no cumplimiento y se devuelva a la gerencia del proyecto para su ajuste. Soporte de Control:  Informe Trimestral Reunión administrativa de seguimiento contractual.</t>
  </si>
  <si>
    <t>El equipo evaluador revisa y verifica los pliegos de condiciones que cumpla con los criterios de transparencia que garantice la imparcialidad, igualdad, oportunidad y que satisfaga la necesidad requerida por la entidad. Soportado en el informe Trimestral reunión administrativa seguimiento contractual.</t>
  </si>
  <si>
    <t>El grupo de contratación realiza acompañamiento en los lineamientos técnicos y normativos para la estructuración de la necesidad y construcción de los estudios previos a los comités técnicos estructuradores y gerente de proyectos, con el objetivo de evitar los reprocesos, fallas y falencias, en la planeación dentro la etapa precontractual.</t>
  </si>
  <si>
    <t>El grupo de contratación establece a los comités técnicos estructuradores y gerente de proyectos la necesidad de realizar una ponencia ante el ordenador del gastos y comité de adquisidores de la Dirección General de Sanidad Militar donde se presenta las necesidades o requerimientos en contratación con el fin de validar la aprobación del lanzamiento del proceso contractual, en caso de tener observaciones, los técnicos estructuradores y gerente de proyectos deberán realizar los ajustes y volver a realizar la presentación de la ponencia para su aprobación.</t>
  </si>
  <si>
    <t>El grupo de contratacion nombra mediante acto administrativo de acuerdo a las directrices de la gerencia del proyecto y ordenacion del gasto al personal de supervisores para cada contrato de acuerdo a lo establecido por el Manual de Contratacion y Convenios del Ministerio de Defensa Nacional.</t>
  </si>
  <si>
    <t>Los supervisores de contrato emiten periódicamente (mensualmente) los informes de supervisión detallando los avances acordados sobre el objeto contractual, en caso de no generarse un avance de cumplimiento por parte del contratista el supervisor generara mesa técnica para revisión y concertación de obligaciones contractuales en acompañamiento del gerente de proyecto.</t>
  </si>
  <si>
    <t>Los supervisores de contrato generan junto a los respectivos informes de supervisión el acta de recibo a satisfacción por la totalidad del bien o servicio contratado por la entidad en cumplimiento al objeto contractual. En caso de posible incumplimiento el supervisor deberá inicialmente mesa técnica de concertación con el contratista para fijar compromisos, en caso de persistir el cumplimiento el supervisor deberá informar por escrito al ordenador del gasto para iniciar debido proceso si hay lugar a ello.</t>
  </si>
  <si>
    <t>El responsable del grupo de contratación realiza capacitaciones internas semestrales orientadas al personal de gerente y supervisores de los procesos contractuales, soportado en acta de capacitación.
El responsable del grupo de contratación genera lineamientos dirigidos al subsistema con temas relacionados a la contratación. Se porte en circulares, oficios institucionales.</t>
  </si>
  <si>
    <t>El responsable del Grupo de Contratación informa a los ordenadores del gasto los hallazgos o novedades, detectadas o presentadas para respectivo trámite administrativo.
El responsable del Grupo de contratación, inicia los debidos procesos con el área responsable y el personal nombrado dentro del proceso contractual.</t>
  </si>
  <si>
    <t>El responsable de Gestión Contractual realiza actualización de nuevas directrices sobre el proceso de gestión documental, registrado en acta de reunión grupo de contratación, de acuerdo a los cambios normativos.</t>
  </si>
  <si>
    <t>El responsable del Grupo de Contratación informa a los ordenadores del gasto los hallazgos o novedades, detectadas o presentadas para respectivo trámite administrativo.
El responsable del grupo de contratación solicita al Señor Director de la Dirección General de Sanidad Militar apertura del procesos respectivo.
El responsable del grupo de contratación realiza consulta a la copia de seguridad digital para consulta del expediente y recuperación de este.</t>
  </si>
  <si>
    <t xml:space="preserve">
El Coordinador del Grupo de Contrataciòn realiza capacitacitaciòn triemestral dirigida a los Gerentes de proyectos y supervisores y comites. Se soporta en un acta de capacitaciòn.</t>
  </si>
  <si>
    <t>El grupo de contracción realiza capacitación semestralmente a los gerentes de proyectos, comité estructurador, supervisores de contratos, en la actualización normativa para la elaboración de los estudios previos.</t>
  </si>
  <si>
    <t xml:space="preserve">
El grupo de contratación en caso de la identificación dentro de la etapa contractual evaluara la posibilidad de realizar ajustes necesarios al contrato, previa evaluación por parte, área jurídica del grupo de contratos. En caso de presentar de no tener viabilidad para ajustes se procederá a hacer válidas las pólizas y/o proceso administrativo para identificar el y/o responsables, y proceder con las respectivas actuaciones disciplinarias.</t>
  </si>
  <si>
    <t>Desde la Coordinación de Contratos y bajo las directrices del ordenador del gasto se inicia del debido proceso para establecer posibles responsables y multas a que haya a lugar.</t>
  </si>
  <si>
    <t>4.1. Grupo Gestión Financiera - GRUFI</t>
  </si>
  <si>
    <t>Aplazamiento o recorte de apropiaciones.</t>
  </si>
  <si>
    <t>Incumplimiento de la meta establecida en la ejecución presupuestal del SSFM.</t>
  </si>
  <si>
    <t>Posibilidad de afectación  económica por aplazamiento o recorte de apropiaciones debido al incumplimiento de la meta establecida en la ejecución presupuestal del SSFM.</t>
  </si>
  <si>
    <t>• Baja Gestión presupuestal de la regionales de las Direcciones de Sanidad y Jefatura de Medicina Aeroespacial de la Fuerza Aérea.
• Limitación en los procesos contractuales que limitan la afectación del gasto.
• Tiempos de respuesta extensos en la aprobación de actos administrativos requeridos para la Gestión presupuestal.
• Implementación de nuevas transacciones en el SIIF que requieren mayor tiempo en la transaccionalidad.</t>
  </si>
  <si>
    <t>• Avances de ejecución presupuestal SSFM, inferiores a lo programado.
• Atrasos en la optimización de la cadena presupuestal.
• Altos volúmenes de operaciones al finalizar la vigencia.</t>
  </si>
  <si>
    <t>Efecto dañoso sobre los recursos públicos por sanción del ente de Control</t>
  </si>
  <si>
    <t>incumplimiento de los pagos de la tasa a la Superintendencia Nacional de Salud.</t>
  </si>
  <si>
    <t>Posibilidad de efecto dañoso sobre los recursos públicos, por sanción del ente de Control debido al incumplimiento de los pagos de la tasa a la Superintendencia Nacional de Salud.</t>
  </si>
  <si>
    <t>• Proceso: El no pago de la tasa oportuna a la Superintendencia de salud en los plazos establecidos. 
• Personal: No se consulta periódicamente la página de la Supersalud, para la identificación del valor a pagar de la tasa.</t>
  </si>
  <si>
    <t>Acto Administrativo sancionando a la entidad, el cual  será emitido por la Superintendencia Nacional de Salud por el no pago de la contribucciòn en las fechas establecidas y de la forma que esta señale.</t>
  </si>
  <si>
    <t>Presentación de información financiera incompleta.</t>
  </si>
  <si>
    <t xml:space="preserve">Información inoportuna de hechos ecónomicos, por parte de los diferentes Grupos de la Dirección General de Sanidad Militar, al Grupo de Gestión Financiera - Contabilidad. </t>
  </si>
  <si>
    <t xml:space="preserve">Posibilidad de afectación reputacional por presentación de información financiera incompleta, debido a la Información  inoportuna de hechos ecónomicos, por parte de los diferentes Grupos de la Dirección General de Sanidad Militar, al Grupo de Gestión Financiera - Contabilidad. </t>
  </si>
  <si>
    <t xml:space="preserve">
• No reportar la información de hechos económicos en tiempo real.
• Rotación de personal y falta de transferencia de conocimiento respecto a la información que se debe reportar al Grupo Gestión Financiera - Contabilidad. 
• Desconocimiento del impacto de no reportar en tiempo real la ocurrencia de hechos económicos que afectan los Estados Financieros de la Entidad.
• Descripción errónea de la información. 
• No aplicación de procedimientos, políticas de operación o reporte de información de hechos económicos en el momento de su ocurrencia, por parte de los diferentes Grupos al Grupo de Gestión Financiera - Contabilidad.</t>
  </si>
  <si>
    <t xml:space="preserve">
• Aplazamiento en la entrega de la información financiera a los Entes correspondientes.
• Diferencias en el reporte de operaciones recíprocas, lo que pueden llegar a generar llamados de atención por parte del Ministerio de Defensa Nacional.</t>
  </si>
  <si>
    <t>Castigo del PAC en cuanto a la disposición de recursos en efectivo a los proveedores.</t>
  </si>
  <si>
    <t>Inadecuada ejecución del PAC.</t>
  </si>
  <si>
    <t>Posibilidad de afectación reputacional por  castigo del PAC en cuanto a la disposición de recursos en efectivo a los proveedores debido a la inadecuada ejecución del PAC.</t>
  </si>
  <si>
    <t xml:space="preserve">• Solicitudes de PAC, con base a proyecciones de facturación de proveedores y no con las facturas radicadas.
• Incumplimiento de las políticas de ejecución de PAC, por parte de los ejecutores.
</t>
  </si>
  <si>
    <t>INPANUT (Indicador de PAC No Uilizado) negativo, castigo del PAC, por parte del Ministerio de Hacienda y Crédito Público.</t>
  </si>
  <si>
    <t>Fenecimiento de la Reserva presupuestal.</t>
  </si>
  <si>
    <t>No trámite por parte de los supervisores para el pago de los contratos, generando inconvenientes en la entrega de bienes y servicios.</t>
  </si>
  <si>
    <t>Posibilidad de afectación reputacional por fenecimiento de la Reserva presupuestal debido al no trámite por parte de los supervisores para el pago de los contratos, generando inconvenientes en la entrega de bienes y servicios.</t>
  </si>
  <si>
    <t>• Supervisores no tramitan pagos de los Contratos de Reserva Presupuestal.
• Falta de seguimiento de supervisores y áreas encargadas de la ejecución de contratos y proyectos que hacen parte de la Reserva Presupuestal.</t>
  </si>
  <si>
    <t>• Inconvenientes en la entrega de los bienes y servicios de un Contrato que soporta la Reserva Presupuestal.
• Observaciones por parte de Entes de control.
• Posibles inconvenientes para la liquidación de los contratos.</t>
  </si>
  <si>
    <t>El Responsable de la Subdirección Administrativa y Financiera - Gestión Financiera realiza Informes trimestralmente de Seguimiento a la ejecución presupuestal de acuerdo a los reportes que se generan en el sistema SIIF, soportado en la ficha técnica del indicador. Soporte de Control: Informe trimestral Ejecución Presupuestal.</t>
  </si>
  <si>
    <t>El Responsable de la Subdirección Administrativa y Financiera - Gestión Financiera realiza Informes Trimestrales dirigidos a las Direcciones de Sanidad y Jefatura de Salud, sobre el avance de ejecución presupuestal de sus Establecimientos de Sanidad con fin de verificar el cumplimiento de la meta en la ejecución de los recursos. Soporte de Control: Producto de Seguimiento informe trimestral Direcciones de Sanidad y Jefatura de Salud, sobre el avance de ejecución presupuestal de sus Establecimientos.</t>
  </si>
  <si>
    <t>El Responsable de la Subdirección Administrativa y Financiera - Gestión Financiera se encarga de verificar bimensualmente en la página de la Superintendencia de Salud, la publicación sobre el formato de liquidación de la contribución. Poducto de Seguimiento Resolución para el pago de la Contribución.</t>
  </si>
  <si>
    <t>El Responsable de la Subdirección Administrativa y Financiera - Gestión Financiera realiza comunicación a la SUPERSALUD Bimensualmente, con el fin de conocer en que periodos se efectúa la liquidación de la tasa.</t>
  </si>
  <si>
    <t>El Grupo de Gestión Financiera - Área de Contabilidad realiza anualmente la emisión de instrucciones y socialización de los diferentes hechos económicos que pueden generar los diferentes Grupos de la DIGSA, que afectan los reportes de la Información Financiera.</t>
  </si>
  <si>
    <t>El Grupo de Gestión Financiera - Área de Contabilidad en caso de encontrar incumplimiento realiza mensualmente circularización a las Direcciones para el cumplimiento en la entrega de la información acorde a los tiempos establecidos en el Cronograma de Cierres contables al  interior de la entidad, lo anterior con el fin de reportar a la contabilidad la  información de hechos económicos en tiempo oportuno.</t>
  </si>
  <si>
    <t>El Grupo de Gestión Financiera - Área de tesorería dará a conocer anualmente la Circular de políticas de ejecución de PAC, emitidas por el Ministerio de Hacienda y Crédito Público.</t>
  </si>
  <si>
    <t xml:space="preserve">El Grupo de Gestión Financiera -  Área de tesorería realiza seguimiento en el sistema con el fin de verificar  que si se este efectuando la ejecución del PAC;  en caso de la no ejecución del que lo requiera, se verifica la posibilidad de trasladar, siempre y cuando se cumpla con los criterios establecidos. </t>
  </si>
  <si>
    <t>El Grupo de Gestión Financiera -  Área de presupuesto anualmente se encargará de la Generación de informes de compromisos pendientes por obligar  en SIIF para radicar a supervisores y áreas encargadas de la ejecución de contratos y proyectos que hacen parte de la Reserva Presupuestal.</t>
  </si>
  <si>
    <t xml:space="preserve">
Monitorear y retroalimentar el avance de los indicadores de la Ejecución presupuestal de ingresos y gastos (DIGSA) - GRUFI.</t>
  </si>
  <si>
    <t>Comunicación a las Direcciones de Sanidad y Jefatura de Salud Aeroespacial, indicando el estado de ejecución presupuestal para que se tomen las acciones.
Realizar mesas de trabajo con las Dirección de Sanidad para el análisis de avance de ejecución presupuestal y definir acciones frente al incumplimiento de metas.</t>
  </si>
  <si>
    <t>El Responsable de la Subdirección Administrativa y Financiera - Gestión Financiera interpone recursos para el no cobro de intereses a la tasa de SUPERSALUD.</t>
  </si>
  <si>
    <t>El responsable de la Subdirección Administrativa y Financiera - Gestión Financiera realiza la gestión para el pago inmediato de la tasa y/o abrir acuerdos de pago con la SUPERSALUD.
El responsable de la Subdirección Administrativa y Financiera - Gestión Financiera informa a la Direcciones sobre la materialización, con el fin de que se realicen las respectivas acciones disciplinarias.</t>
  </si>
  <si>
    <t>El Grupo de Gestión Financiera - Área de Contabilidad realiza seguimiento mensual al cronograma de reporte de información de hechos económicos por parte de los diferentes Grupos de la DIGSA a la contabilidad.</t>
  </si>
  <si>
    <t xml:space="preserve">El Grupo de Gestión Financiera - Área de Contabilidad Notificará a los Grupos que reportan información extemporáneamente, presentar las consecuencias de la situación, solicitar la correción y/o sustentación de la información. </t>
  </si>
  <si>
    <t>El Grupo de Gestión Financiera -  Área de tesorería realiza seguimiento a la Ejecución del PAC.</t>
  </si>
  <si>
    <t>El Grupo de Gestión Financiera - Área de Tesorería realiza reasignación o castigo del PAC a la Subunidad que ocasiona el incumplimiento.</t>
  </si>
  <si>
    <t>El Grupo de Gestión Financiera -  Área de presupuesto elabora informes periódicos previos al cierre de vigencia sobre los saldos pendientes por ejecutar en los registros presupuestales que hacen parte de la Reserva presupuestal.</t>
  </si>
  <si>
    <t>Reiterar a los Grupos y supervisores encargados de ejecutar las Reservas Presupuestales, los impactos de la no ejecución, para que se ejecuten las acciones y las documenten, con las justificaciones que haya lugar y se tomen los correctivos para que no se presente un fenecimiento de la Reserva Presupuestal.</t>
  </si>
  <si>
    <t>1.7. Grupo Planeación Estratégica - GRUPL</t>
  </si>
  <si>
    <t>baja calidad en la prestación de los servicios de Salud en los establecimientos de Sanidad Militar</t>
  </si>
  <si>
    <t>inadecuada identificación de necesidades de infraestructura y equipos biomédicos.</t>
  </si>
  <si>
    <t>Posibilidad afectación económica y reputacional por la baja calidad en la prestación de los servicios de Salud en los establecimientos de Sanidad Militar debido a la inadecuada identificación de necesidades de infraestructura y equipos biomédicos.</t>
  </si>
  <si>
    <t xml:space="preserve"> -  Inadecuado identificación en las necesidades reales en las obras de mantenimiento e infraestructura a realizar en los ESM a nivel Nacional.
 -  Debilidad en la identificación de las necesidades en equipos biomédicos para la prestación de los servicios en los ESM a nivel Nacional
 - Demora o no aprobación de las licencias o permisos de entidades externas requeridas para la ejecución de los proyectos.
 - Incumplir con  las  actividades propuestas en el plan de ejecución de los recursos de inversión
 - Afectaciones del medio ambiente</t>
  </si>
  <si>
    <t>1. Recursos por el rubro de inversión, insuficientes para el cumplimiento de los objetivos y metas, generando sobrecosto en la ejecución y alcance de los proyectos. 
2.Inadecuada destinación y ejecución de recursos de inversión
3. Demandas por insatisfacción sobre los servicios prestados por la entidad.
4. Demandas por saneamiento ambiental.</t>
  </si>
  <si>
    <t>sanciones entes de control y vigilancia</t>
  </si>
  <si>
    <t>desviación de recursos asignados al subsistema de salud por gastos que no estén en el marco de la ley 352 de 2008 y la normatividad vigente.</t>
  </si>
  <si>
    <t>Posibilidad afectación económica y reputacional por procesos disciplinarios, sanciones entes de control y vigilancia debido a la desviación de recursos asignados al subsistema de salud por gastos que no estén en el marco de la ley 352 de 2008 y la normatividad vigente.</t>
  </si>
  <si>
    <t xml:space="preserve"> - Adquisiciones de bienes y servicios no incluidos dentro del plan de compras ni amparen la prestacion de los servicios de salud.</t>
  </si>
  <si>
    <t xml:space="preserve"> - Sanciones Disciplinarias
 - Peculado
 - Sanciones Entes de Control y Vigilancia</t>
  </si>
  <si>
    <t>ajustes presupuestales en la adquisición de bienes y servicios</t>
  </si>
  <si>
    <t xml:space="preserve"> inadecuada planeación en la identificación de las necesidades para la prestación de los servicios de salud - PROPLAES - ARPRE</t>
  </si>
  <si>
    <t>Posibilidad de afectación económica por ajustes presupuestales en la adquisición de bienes y servicios debido inadecuada planeación en la identificación de las necesidades para la prestación de los servicios de salud - PROPLAES - ARPRE</t>
  </si>
  <si>
    <t>1. Desconocimiento del objetivo general y aplicabilidad del plan de adquisiciones.
2. Aplicación de los lineamientos emitidos por la DIGSA y la normatividad vigente
3. Debilidad en la comunicación al interior de la DIGSA, DISAN y ESM para la identificación de las necesidades.</t>
  </si>
  <si>
    <t>1. Modificaciones presupuestales frecuentes a los rubros programados, generando retrasos en la ejecución de los mismos.
2. Generación de deudas sin respaldo presupuestal.
3. No prestación de los servicios de salud acorde a las necesidades reales establecidas para el SSFM, generando insatisfacción en los usuarios.
4. Generación de rezagos presupuestales al cierre de la vigencia, no justificado.
5. Sanciones al presupuesto por el no uso del recurso asignado durante la vigencia.
6. Pérdida de recursos, por debilidades en la planeación y ejecución de los recursos en la vigencia.</t>
  </si>
  <si>
    <t>distribución o asignación inapropiada de los recursos para los Planes, Programas y/o Proyectos</t>
  </si>
  <si>
    <t>recortes presupuestales y asignación de los techos para los proyectos de inversión en cada una de las vigencias. PROPLAES - ARDEI</t>
  </si>
  <si>
    <t>Posibilidad de afectación económica y reputacional en la distribución o asignación inapropiada de los recursos para los Planes, Programas y/o Proyectos debido a recortes presupuestales y asignación de los techos para los proyectos de inversión en cada una de las vigencias. PROPLAES - ARDEI</t>
  </si>
  <si>
    <t>1. Ausencia de lineamientos para la formulación, implementación y seguimiento a los planes, programas y proyectos de inversión.
2. Diferencia en los resultados y análisis para la toma de decisiones</t>
  </si>
  <si>
    <t>1. Proceso de Investigación de entes de controles, los cuales podrán aplicar medidas correctivas o sanciones disciplinarias o económicas.
2. Recortes presupuestales</t>
  </si>
  <si>
    <t xml:space="preserve"> limitación en la toma decisiones e identificación de costos de operación</t>
  </si>
  <si>
    <t xml:space="preserve"> fallas en el flujo de información por el suministro inoportuno y complejidad en la calidad de los datos generados por las DISANJC – ARC – JEFSA Y ESM.</t>
  </si>
  <si>
    <t>Posibilidad de afectación reputacional y económica por limitación en la toma decisiones e identificación de costos de operación causada por fallas en el flujo de información por el suministro inoportuno y complejidad en la calidad de los datos generados por las DISANJC – ARC – JEFSA Y ESM.</t>
  </si>
  <si>
    <t xml:space="preserve">
1. Debilidad en la interacción y la comunicación entre los procesos, procedimientos y productos del SSFM.
2. Información parcial debido a que la plataforma de Sistema SALUD.SIS no es integral e interoperable, y no  se ha implementado a nivel nacional por lo cual un porcentaje de la información se registra en forma manual.
3. Incumplimiento del cronograma de registro de operaciones y de cierre de periodos logísticos, financieros y de costos.
4. No contar con el personal suficiente para el procesamiento y desarrollo de las actividades del proceso.
5. Información parcial de la prestación del Servicio de Salud en la RED Externa.</t>
  </si>
  <si>
    <t>1. Duplicidad de procesos y desarrollo de actividades múltiples para un mismo producto.
2. Atraso en el procesamiento de datos para el análisis de la información.
3. Atraso en la generación de productos definidos en cumplimiento al cronograma de implementación del Sistema de costos.
4. Atraso en la entrega de los reportes estadísticos para contribuir en la toma de decisiones.
5. No justificación del gasto en la prestación del Servicio de Salud en el SSFM mediante la Nota Técnica.
6. Inadecuada Planeación de la prestación de Servicios de Salud a nivel Nacional en el SSFM.</t>
  </si>
  <si>
    <t xml:space="preserve">afectación reputacional </t>
  </si>
  <si>
    <t xml:space="preserve"> falta de adherencia de los lineamientos, directrices internas y externas en la formulación de los planes Planes Institucionales y Estratégicos. PROPLAES ARDEI</t>
  </si>
  <si>
    <t>Posibilidad de afectación reputacional por la falta de adherencia de los lineamientos, directrices internas y externas en la formulación de los planes Planes Institucionales y Estratégicos. PROPLAES ARDEI</t>
  </si>
  <si>
    <t>1,  Ausencia de lineamientos para la formulación, implementación y seguimiento a los planes.
2, Debilidad en la interacción  entre los actores del SSFM.
3, Revisión y aprobación de los lineamientos para la socialización al interior del SSFM.</t>
  </si>
  <si>
    <t>1. Posibles sanciones de los entes de control y baja credibilidad de los procesos de planeación.
2. Incumplimiento de los objetivos definidos en el Plan nacional de desarrollo vigente.
3. Incumplimiento a los objetivos estratégicos de la entidad.</t>
  </si>
  <si>
    <t>El responsable del area desarrollo institucional emite los lineamientos anualmente para la consolidacion de las necesidades de infraestructua y equipo biomedicos en los establecimientos de sanidad militar con el fin de sustentar los recursos ante el concejo superior de salud. Producto del Control: Acto administrativo Concejo superior de salud.</t>
  </si>
  <si>
    <t>El responsable del área desarrollo institucional realiza anualmente distribución  y asignación de recursos a los establecimientos de sanidad militar de acuerdo a  identificación de las necesidades aprobadas en el concejo superior de salud y en concordancia al decreto de liquidación. Producto del Control: Resolución 1 de la Vigencia.</t>
  </si>
  <si>
    <t>El responsable de desarrollo institucional realiza el seguimiento trimestral en la Plataforma PIIP del Departamento Ncional de Planeaciòn  a la ejecuion de los recuros de infraestructura y equpos biomedicos. Producto de Control: Reporte Trimestralmente de Seguimiento Plataforma PIIP.</t>
  </si>
  <si>
    <t>La Coordinación de Planeación realiza la verficación de las solicitudes realizadas por la DIGSA, DISAN EJC, ARC y JEFSA de recursos y verfica que esten acorde al marco de la ley 352 de 2008, y la normatividad vigente.</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</si>
  <si>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</si>
  <si>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t>El responsable de planeación realiza trimestralmente la actualización del Plan de adquisiciones de acuerdo a las solicitudes técnicas de las modificaciones presupuestales al plan de adquisiciones, aprobado por el Director General de la Dirección de Sanidad Militar. Soporte: Resoluciones actualización Plan de Adquisiciones.</t>
  </si>
  <si>
    <t>El responsable de Planeación estratégica emite los lineamientos anuales para la construcción y consolidación del plan de adquisiciones a la DIGSA, DISAN EJC, ARC y JEFSA, soportado en lineamientos y plan de adquisiciones enviados. Soporte del Control: Lineamientos Plan de adquisiciones, Acuerdo.</t>
  </si>
  <si>
    <t>El responsable de Costos y Estadistica elabora lineamientos a demanda por cambios normativos y/o directrices del sector para el procesamiento y entrega de la información por parte de la DIGSA, DISAN EJC, ARC y JEFSA.</t>
  </si>
  <si>
    <t>El responsable de Costos y estadisticas realiza verificación trimestralmente de datos reportados y de devolución de la información incompleta, junto con las inconsistencias halladas,  mediante comunicación oficial a la DISAN y JEFSA.</t>
  </si>
  <si>
    <t>El responsable de Planeación Estratégica realiza sustento técnico anual ante el Ministerio de Defensa y Ministerio de Hacienda para la distribución de los recursos, los cuales son aprobados mediante acuerdo de distribución. Soporte de Control: Decreto liquidación del presupuesto general de la nación.</t>
  </si>
  <si>
    <t xml:space="preserve">El responsable de Planeación Estratégica realiza la asignación de los recursos en concordancia al decreto de liquidación del Presupuesto General de la Nación y el acuerdo de distribución técnica, el cual es soportado mediante la resolución 001 anual. Soporte de Control: Resolución 001 </t>
  </si>
  <si>
    <t>El responsable de planeación realiza trimestralmente la actualización del Plan de Adquisiciones de acuerdo a las solicitudes técnicas de las modificaciones presupuestales al plan de adquisiciones, aprobado por el Director General de la Dirección de Sanidad Militar. Soporte: Resoluciones actualización Plan de Adquisiciones.</t>
  </si>
  <si>
    <t>El responsable de Costos y Estadistica realiza seguimiento mediante mesa de trabajo Trimestralmente entre los homólogos de las áreas de estadística y costos de la DIGSA, DISAN EJC, ARC y JEFSA con el objetivo de identificar posibles hallazgos de inconsistencias de reportes de datos y actualizar la ejecución del manejo de la herramienta SALUD.SIS (modulo de reportes y CEC). Seguimiento a la aplicación de la Directiva Permanente No. 370867 de 2014, Directiva Transitoria 0121011905202 de 2021.  Soporte del Control: Actas Mesas de Trabajo y/o informesTrimestral Costos y Estadistica.</t>
  </si>
  <si>
    <t>El responsable de desarrollo institucional  realiza mesas de trabajo anual  con los procesos de la DIGSA y DISAN, JEFSA para la formulación de los planes, programas y proyectos, en concordancia a los lineamientos y directrices del Ministerio de Defensa Nacional. Producto de Control: Acta Mesas de Trabajo.</t>
  </si>
  <si>
    <t>El responsable de desarrollo institucional  realiza anualmente actualización y socialización de ineamientos para la formulación u seguimiento a los Planes, Programas y Proyectos.  Producto de Control: Acta de Capacitaciòn y/o comunicación interna institucional.</t>
  </si>
  <si>
    <t>Proyectar el Plan de ejecución de los recursos de inversión.
Priorizar necesidades de intervención de la infraestructura -equipos biomédicos para la puesta en marcha de los proyectos de inversión.</t>
  </si>
  <si>
    <t>El responsable del área desarrollo institucional realiza un análisis y redistribución de los recursos, de acuerdo a las necesidades en los establecimiento de sanidad militar.</t>
  </si>
  <si>
    <t>1. Asignar la UPC de acuerdo a la Adscripción establecida para cada DISAN EJC, ARC y JEFSA.
2. Presentar y Socializar los Techos Presupuestales asignados Técnicamente a la DISAN EJC, ARC y JEFSA
3. Consolidar el Plan de Compras de la DIGSA</t>
  </si>
  <si>
    <t>El secretario del Comité plan de adquisiciones convoca a reuniones mensuales para el seguimiento y actualización del Plan de adquisiciones, donde se presentará y aprobaran las actualizaciones.</t>
  </si>
  <si>
    <t>1. Asignar la UPC de acuerdo a la Adscripción establecida para cada DISAN EJC, ARC y JEFSA.
2. Presentar y Socializar los Techos Presupuestales asignados Técnicamente a la DISAN EJC, ARC y JEFSA.
3. Consolidar el Plan de Compras de la DIGSA</t>
  </si>
  <si>
    <t xml:space="preserve">El responsable de desarrollo institucional del Grupo de Planeación estratégica de la DIGSA, realiza seguimiento trimestral a la ejecución proyecto inversión en el comité funcional Ministerio de Defensa. </t>
  </si>
  <si>
    <t>El el responsable desarrollo institucional del Grupo de Planeación estratégica de la DIGSA, realiza priorización de los recursos de acuerdo a los techos anunciados.</t>
  </si>
  <si>
    <t>El responsable de Costos y estadistica, realizara mesas de trabajo con el grupo sistema de información semanalmente para el rediseño del modulo de costos y reportes, con el fin de identificar los requerimientos por parte de los procesos transversales y establecer los criterios de integraciòn para le modulo de costos.</t>
  </si>
  <si>
    <t>Para el area de Costos, realiza  comunicación interna a las Direcciones de Sanidad, JEFSA, realizando observaciones para el cumplimiento de plazos y lineamientos, desde la Dirección General de Sanidad Militar.
El area de Estadistica realizara mesas de trabajo con la DISAN, JEFSA informando el incumplimiento, y novedades en la estructura y calidad de la informaciòn, para el cumplimento del cronograma de entrega de reportes. Se genera acta con acuerdos el cumplimiento.</t>
  </si>
  <si>
    <t xml:space="preserve">
La responsable de desarrollo organizacional del grupo de planeación estrategica, realiza sustenctación tecnia ante el comite de salud de las fuerzas militares.</t>
  </si>
  <si>
    <t>El responables de desarrollo organizacional realiza los ajustes y alinaciòn correspondiene de acuedo a los observaciones presentadas por  de los miembros del comité de salud de las fuerzas militares.</t>
  </si>
  <si>
    <t>1.3. Área Comunicaciones Estratégicas y Gestión del Cambio - ARCOM</t>
  </si>
  <si>
    <t>queja de grupos de valor e interés y sanciones entes de control</t>
  </si>
  <si>
    <t>al incumplimiento en el acceso, oportunidad, confidencialidad y divulgación de la información acorde a la ley 1712 de 2014 y la publicación de información sin los lineamientos institucionales.</t>
  </si>
  <si>
    <t>Posibilidad de afectación reputacional por queja de grupos de valor e interés y sanciones entes de control debido al incumplimiento en el acceso, oportunidad, confidencialidad y divulgación de la información acorde a la ley 1712 de 2014 y la publicación de información sin los lineamientos institucionales.</t>
  </si>
  <si>
    <t>1. Manejo informativo con primicia de terceros, tergiversación, desinformación, especulación o manipulación de la información.
2. Especulación informativa, desatención de los grupos de interés, disminución de impacto de campañas, percepción de un mal servicio.
3. Comentarios negativos y especulaciones desde el interior de la entidad que irradie o soporte la inconformidad externa.
4. Manejo inoportuno de las acciones y respuestas a requerimientos de usuarios a través de los canales digitales.</t>
  </si>
  <si>
    <t>1. Afecta de la imagen de la entidad y efecto masivo de percepciones de insatisfacción de los usuarios del SSFM.
2. Limitación en términos de oportunidad de plataformas para aumentar coberturas y oportunidades de estrategias en la comunicación al interior del SSFM y los grupos de interés.
3. Deterioro en las relaciones con los usuarios, falta de credibilidad, y generación de avance a instancias superiores.  
4. Incremento de los procesos legales, PQRSR y sanciones por entes de control.
5. Actuaciones negativas por inconformismo con la gestión al interior del SSFM e irradiación a los grupos de interés.
6. Incumplimiento a los tiempos de respuesta legalmente establecidos generando sanciones legales a la entidad.</t>
  </si>
  <si>
    <t>El Líder de Comunicaciones Estratégicas y Gestión del Cambio - ARCOM, realiza semestral seguimiento al cumplimento de la matriz ITA, del cual se genera un informe y comunicación a los procesos de acuerdo con el nivel de cumplimiento. Soporte de Control: Informe semestral Gobierno Digital.</t>
  </si>
  <si>
    <t>El Líder de Comunicaciones Estratégicas y Gestión del Cambio - ARCOM, establece lineamientos para la construcción de la información a publicar en los diferentes canales digitales e impresos de comunicación suministrados por parte de los procesos, quienes suministran la información, validan y aprueban mediante correo electrónico, y verifican que la información cumpla con los criterios de lenguaje claro. Soporte de Control: Informe trimestral gestión redes sociales, página institucional.</t>
  </si>
  <si>
    <t>El Líder de Comunicaciones Estratégicas y Gestión del Cambio - ARCOM, realiza Análisis trimestral del indicador Porcentaje de usuarios que acceden a los canales digitales, para conocer el nivel de crecimiento y porcentaje de participación de nuestros usuarios. Soporte de Control: Informe análisis ficha de indicador.</t>
  </si>
  <si>
    <t>El Líder de Comunicaciones Estratégicas y Gestión del Cambio – ARCOM realiza capacitaciones semestrales a los gestores de página web, sobre el cumplimiento de ley 1712 de 2014 y los criterios de 1519 de 2020.
El Líder de Comunicaciones Estratégicas y Gestión del Cambio – ARCOM realiza comunicación anual sobre el cronograma de publicaciones institucionales, con el fin de que los responsables suministren la información con anterioridad, cumpliendo con los criterios de claridad, veracidad, calidad y lenguaje claro, estos son validados por el área de comunicaciones estratégicas y gestión del cambio, en caso de encontrar inconsistencia, se devuelven mediante comunicación electrónica para su ajuste y/o actualización.</t>
  </si>
  <si>
    <t>El Líder de Comunicaciones Estratégicas y Gestión del Cambio – ARCOM aplica el protocolo de crisis establecido dentro de la directiva de comunicaciones estratégicas y gestión del cambio, con el fin de establecer la ruta a seguir  para minimizar el impacto del riesgo.</t>
  </si>
  <si>
    <t>2.3. Grupo Sistema Integral de Información - Tecnologías de la Información  y Comunicaciones - SISAM</t>
  </si>
  <si>
    <t xml:space="preserve">por perdida de la integridad y disponibilidad de la información </t>
  </si>
  <si>
    <t>debido a fallas en la infraestructura tecnológica, de comunicaciones y sistemas de información.</t>
  </si>
  <si>
    <t>Posibilidad de Afectación Económica y Reputacional por perdida de la integridad y disponibilidad de la información debido a fallas en la infraestructura tecnológica, de comunicaciones y sistemas de información. - PROGTIC - SISAM</t>
  </si>
  <si>
    <t>Fallas del equipo
Mal funcionamiento del equipo
Saturación del sistema de información
Mal funcionamiento del software
Incumplimiento en el mantenimiento del sistema de información.
Perdida de suministro de energía</t>
  </si>
  <si>
    <t>Mantenimiento insuficiente
Ausencia de esquemas de reemplazo periódico
Almacenamiento sin protección
Interfaz de usuario compleja
Ausencia de documentación
Ausencia de acuerdos de nivel de servicio (ANS o SLA)
Software nuevo o inmaduro</t>
  </si>
  <si>
    <t>por perdida de la integridad confidencialidad de la información</t>
  </si>
  <si>
    <t>debido eliminación de información reservada o Publica pérdida, hurto, fuga, destrucción y/o desviación de información, por accesos no autorizados de usuarios debido a la inadecuada gestión de permisos de acceso a los sistemas de información.</t>
  </si>
  <si>
    <t>Posibilidad de Afectación Económica y Reputacional por perdida de la integridad confidencialidad de la información  debido eliminación de información reservada o Publica pérdida, hurto, fuga, destrucción y/o desviación de información, por accesos no autorizados de usuarios debido a la inadecuada gestión de permisos de acceso a los sistemas de información.</t>
  </si>
  <si>
    <t>Uso no autorizado del equipo
Corrupción de los datos 
Procesamiento ilegal de datos
Falsificación de derecho</t>
  </si>
  <si>
    <t>Falta de conciencia en seguridad
Ausencia de políticas de uso aceptable
Ausencia de procedimiento de registro/retiro de usuarios
Ausencia de proceso para supervisión de derechos de acceso
Ausencia de control de los activos que se encuentran fuera de las 
instalaciones
Ausencia de mecanismos de monitoreo para brechas en la seguridad
Ausencia de procedimientos y/o de políticas en general (esto aplica para 
muchas actividades que la entidad no tenga documentadas y 
formalizadas como uso aceptable de activos, control de cambios, 
valoración de riesgos, escritorio y pantalla limpia entre otros)
Copia no controlada
Ausencia de mecanismos de identificación y autenticación de usuarios
Contraseñas sin protección
Ausencia o insuficiencia de pruebas de software
Ausencia de terminación de sesión
Ausencia de registros de auditoría
Asignación errada de los derechos de acceso</t>
  </si>
  <si>
    <t>por perdida de la integridad, disponibilidad y confidencialidad de la información</t>
  </si>
  <si>
    <t xml:space="preserve">por a la eliminación, hurto o fuga de información pública o reservada debido a ataques cibernéticos. </t>
  </si>
  <si>
    <t xml:space="preserve">Posibilidad de Afectación Económica y Reputacional por perdida de la integridad, disponibilidad y confidencialidad de la información por  la eliminación, hurto o fuga de información pública o reservada debido a ataques cibernéticos. </t>
  </si>
  <si>
    <t>Pérdidas de información.
Incumplimientos y consecuencias legales.
Accesos no autorizados a información confidencial o a las instalaciones.
Robo de datos, información o incluso equipos.
Daños en la reputación de la organización.
Pérdidas económicas causadas por paralizaciones de la actividad, reclamaciones legales o reparación de daños.
Causas:
Fallas en los equipos de seguridad 
Falta de Políticas y lineamientos</t>
  </si>
  <si>
    <t>Uso de software falso o copiado
Tráfico sensible sin protección
Consecuencias:
Daño de activos de información
Afectación prestación de Servicios
Perdida de la integridad y confidencialidad de la información</t>
  </si>
  <si>
    <t>por perdida de la integridad, disponibilidad de la información</t>
  </si>
  <si>
    <t>por perdida de activos de información debido a desastres o eventos fortuitos</t>
  </si>
  <si>
    <t>Posibilidad de Afectación Económica y Reputacional por perdida de la integridad, disponibilidad de la información por perdida de activos de información debido a desastres o eventos fortuitos.</t>
  </si>
  <si>
    <t>Fenómenos climáticos
Fenómenos sísmicos
Fenómenos meteorológicos
Inundación</t>
  </si>
  <si>
    <t xml:space="preserve">
Áreas susceptibles a inundación
Red energética inestable
Probabilida de eventos sismicos
Consecuencias:
Perdida de la integridad, disponibilidad de la información</t>
  </si>
  <si>
    <t>Posibilidad de Afectación Económica y Reputacional por perdida de la disponibilidad de la información por uso y administración no autorizada de servidores y equipos de comunicación debido a la inadecuada gestión de roles para la administración y gestión de la infraestructura tecnológica.</t>
  </si>
  <si>
    <t>Perdida de información
Daño de equipos de comunicaciones y sistema de información
Causas
Ausencia del personal
Entrenamiento insuficiente</t>
  </si>
  <si>
    <t>Falta de politicas de control de acceso
Control de seguridad fisica
Consecuencias
Interrupción de los Sistemas de Información e infraestructura tecnológica.</t>
  </si>
  <si>
    <t>El responsable de servidores realiza mensualmente la generación de un reporte con la herramienta LIVE OPTICS que permite conocer la capacidad de hardware del DATACENTER, con el fin de detectar saturación en los servicios y/o capacidad de recursos.</t>
  </si>
  <si>
    <t>El responsable de FIREWALL realiza diariamente validaciones de vulnerabilidad en la red, realizando análisis, bloqueos, seguimiento, con el fin de prevenir ataque a la infraestructura tecnológica, frente a las acciones identificadas se realiza bloqueo a PUERTOS, URLS, DIRECCIONES IP. Se genera un reporte mensualmente y se presenta al Coordinador del grupo de trabajo.</t>
  </si>
  <si>
    <t>El responsable de firewall, mediante la herramienta CORTEX  XDR (Solución de Seguridad) identifica y controla los malware, realiza análisis de la máquina,  reporta alertas, realiza bloqueo de virus, esta actividad se realiza 7/24. La periodicidad está dada de acuerdo al tiempo en línea de las maquinas.</t>
  </si>
  <si>
    <t>El responable de asignación de usuarios de acceso a equipos, correo electronico) realiza  creacion y/o inactivacion de los usuarios de acuerdo al formato de solicitud activacion - inactivacion de usuarios DIGSA, teniendo en cuenta los requerimientos de los funcionarios autorizados por los coordinadores y/o  lideres de area, el cual es verficado y autorizado por el Coordinador del Grupo SISAM.</t>
  </si>
  <si>
    <t>El responable de asignación de usuarios de acceso a kactus - Onbase realiza  creacion y/o inactivacion de los usuarios de acuerdo  tiket autorizado por el coordinador de talento humano se tienen en cuenta los roles y perfiles solicitados.Se genera un reporte mensualmente y se presenta al Coordinador del grupo de trabajo.</t>
  </si>
  <si>
    <t>El responsable de Antivirus  se realiza diariamente validaciones de bloqueos de amenazas presentadas    mendiante la herramienta  de solucion de seguridad CORTEX  XDR, en equipos de los funcionarios y los servidores de la DIGSA.</t>
  </si>
  <si>
    <t>El responsable de copias de seguridad realiza semestramental capacitación de copias de seguridad a los procesos y verifica mendiante seguimiento el cumpliento de los archivos generados, realizando pruebas de verficación de integridad de los datos. Soporte Corte: El informe de capacitaciòn y/o informe seguimiento cumplimiento copias se seguridad.</t>
  </si>
  <si>
    <t>El responsable de copias de seguridad de servidores realiza periodicamente las copias de respaldo de acuerdo al procedimeineto establecido y los planes de mantenimiento implementados en los manejadore de base de datos</t>
  </si>
  <si>
    <t xml:space="preserve">El responsable de activacion de usuarios para el ingreso de Datacenter y cuartos electricos mediante la aplicación Bio star 2, siguiendo la debida autorizacion de la coordinacion de SISAM.  se genera un reporte de las novedades  mensualmente y se presenta al Coordinador del grupo de trabajo. </t>
  </si>
  <si>
    <t>El responsable  autorizado Diligencia la bitacora de ingreso al datacenter con las actividades realizadas, fecha, hora de entrada y de salida , firma y nombre del la persona de quien lo acompaña si aplica.</t>
  </si>
  <si>
    <t>Contratación de servicios tecnológicos para el análisis de la infraestructura tecnológica de la DIGSA, que genera un informe sobre estado actual y las acciones a nivel hardware y software a realizar. 
Se elabora el plan de continuidad de acuerdo a los resultados dentro de la contracción, el responsable de servidores consolidara las necesidades técnicas y requerimientos a nivel de hardware y software para garantiza la infraestructura 24/7
El responsable de Seguridad de Información, revisara los controles de acceso implementados e implementara aquellos para el fortalecimiento de la mitigación del riesgos de acuerdo a los siguiente controles:
Gestión de las vulnerabilidades técnicas: Control: Se debería obtener oportunamente información acerca de las vulnerabilidades técnicas de los sistemas de información que se usen; evaluar la exposición de la organización a estas vulnerabilidades, y tomar las medidas apropiadas para tratar el riesgo asociado.
Controles de redes: Control: Las redes se deberían gestionar y controlar para proteger la información en sistemas y aplicaciones.
Seguridad de los servicios de red: Control: Se deberían identificar los mecanismos de seguridad, los niveles de servicio y los requisitos de gestión de todos los servicios de red, e incluirlos en los acuerdos de servicios de red, ya sea que los servicios se presten internamente o se contraten externamente.
Políticas y procedimientos de transferencia de información: Control: Se debería contar con políticas, procedimientos y controles de transferencia formales para proteger la transferencia de información mediante el uso de todo tipo de instalaciones de comunicación.
Gestión de capacidad:Control: Para asegurar el desempeño requerido del sistema se debería hacer seguimiento al uso de los recursos, hacer los ajustes, y hacer proyecciones de los requisitos sobre la capacidad futura.
Cadena de suministro de tecnología de información y comunicación: Control: Los acuerdos con proveedores deberían incluir requisitos para tratar los riesgos de seguridad de la información asociados con la cadena de suministro de productos y servicios de tecnología de información y comunicación.</t>
  </si>
  <si>
    <t>El responsable de Seguridad de Información, revisara los controles de acceso implementados e implementara aquellos para el fortalecimiento de la mitigación del riesgos,  de acuerdo a los siguiente controles:
Política de control de acceso: Control: Se debería establecer, documentar y revisar una política de control de acceso con base en los requisitos del negocio y de seguridad de la información.
Política sobre el uso de los servicios de red: Control: Solo se debería permitir acceso de los usuarios a la red y a los servicios de red para los que hayan sido autorizados específicamente.
Registro y cancelación del registro de usuarios: Control: Se debería implementar un proceso formal de registro y de cancelación de registro de usuarios, para posibilitar la asignación de los derechos de acceso.
Suministro de acceso de usuarios: Control: Se debería implementar un proceso de suministro de acceso formal de usuarios para asignar o revocar los derechos de acceso a todo tipo de usuarios para todos los sistemas y servicios. 
Gestión de información de autenticación secreta de usuarios: Control: La asignación de la información secreta se debería controlar por medio de un proceso de gestión formal.   
Retiro o ajuste de los derechos de acceso: Control: Los derechos de acceso de todos los empleados y de usuarios externos a la información y a las instalaciones de procesamiento de información se deberían retirar al terminar su empleo, contrato o acuerdo, o se deberían ajustar cuando se hagan cambios.
Acuerdos de confidencialidad o de no divulgación: Control: Se deberían identificar, revisar regularmente y documentar los requisitos para los acuerdos de confidencialidad o no divulgación que reflejen las necesidades de la organización para la protección de la información.</t>
  </si>
  <si>
    <t>El responsable de Seguridad de Información, revisara los controles de acceso implementados e implementara aquellos para el fortalecimiento de la mitigación del riesgos,  de acuerdo a los siguiente controles:
Controles contra códigos maliciosos: Control: Se deberían implementar controles de detección, deprevención y de recuperación, combinados con la toma de conciencia apropiada de los usuarios, para proteger contra códigos maliciosos.
Teletrabajo: Control: Se deberían implementar una política y unas medidas de seguridad de soporte, para proteger la información a la que se tiene acceso, que es procesada o almacenada en los lugares en los que se
realiza teletrabajo.
Política sobre el uso de controles criptográficos: Control: Se debería desarrollar e implementar una política sobre el uso de controles criptográficos para la protección de la información.
Seguridad del cableado: Control: El cableado de potencia y de telecomunicaciones que porta datos o soporta servicios de información debería estar protegido contra interceptación, interferencia o daño.
Seguridad de equipos y activos fuera de las instalaciones: Control: Se deberían aplicar medidas de seguridad a los activos que se encuentran fuera de las instalaciones de la organización, teniendo en cuenta los diferentes riesgos de trabajar fuera de dichas instalaciones.
Protección de registros: Control: Los registros se deberían proteger contra perdida, destrucción, falsificación, acceso no autorizado y liberación no autorizada, de acuerdo con los requisitos legislativos, de reglamentación, contractuales y de negocio.</t>
  </si>
  <si>
    <t>El responsable de Seguridad de Información, revisara los controles de acceso implementados e implementara aquellos para el fortalecimiento de la mitigación del riesgos, de acuerdo al siguiente control:
Respaldo de información: Control: Se deberían hacer copias de respaldo de la información, del software e imágenes de los sistemas, y ponerlas a prueba regularmente de acuerdo con una política de copias de respaldo
aceptada.
Gestión de las vulnerabilidades técnicas: Control: Se debería obtener oportunamente información acerca de las vulnerabilidades técnicas de los sistemas de información que se usen; evaluar la exposición de la organización a estas vulnerabilidades, y tomar las medidas apropiadas para tratar el riesgo asociado.
Mensajería electrónica: Control: Se debería proteger adecuadamente la información incluida en la mensajería electrónica.</t>
  </si>
  <si>
    <t>El responsable de Seguridad de Información, revisara los controles de acceso implementados e implementara aquellos para el fortalecimiento de la mitigación del riesgos,  de acuerdo al siguiente control:
Perímetro de seguridad física: Control: Se deberían definir y usar perímetros de seguridad, y usarlos para proteger áreas que contengan información sensible o critica, e instalaciones de manejo de información.
Controles físicos de entrada: Control: Las áreas seguras se deberían proteger mediante controles de entrada apropiados para asegurar que solamente se permite el acceso a personal autorizado.
Política de control de acceso: Control: Se debería establecer, documentar y revisar una política de control de acceso con base en los requisitos del negocio y de seguridad de la información.
Sistema de gestión de contraseñas: Control: Los sistemas de gestión de contraseñas deberían ser interactivos y deberían asegurar la calidad de las contraseñas.
Ubicación y protección de los equipos: Control: Los equipos deberían estar ubicados y protegidos para reducir los riesgos de amenazas y peligros del entorno, y las oportunidades para acceso no autorizado.
Registros del administrador y del operador: Control: Las actividades del administrador y del operador del sistema se deberían registrar, y los registros se deberían proteger y revisar con regularidad.</t>
  </si>
  <si>
    <t>En Construcción</t>
  </si>
  <si>
    <t>inadecuado control operacional del sistema integrado de gestion</t>
  </si>
  <si>
    <t xml:space="preserve"> al incumplimiento de politicas y lineamientos institucionales - PROPLAES - ARSIG</t>
  </si>
  <si>
    <t>Posibilidad de afectación reputacional por el inadecuado control operacional del sistema integrado de gestion debido al incumplimiento de politicas y lineamientos institucionales - PROPLAES - ARSIG</t>
  </si>
  <si>
    <t>1,  Desarticulación de la información y desconocimiento de los actores del Sistema en referencia a los procesos a integrar y los Sistemas Integrados de Gestión - SIG.
2. No autorización de las Fuerzas a las Direcciones de Sanidad (EJC, ARC y JEFSA) para la articulación de los procesos originada  por la Gestión del Cambio al interior de sus procesos y los Sistemas de Gestión</t>
  </si>
  <si>
    <t>1. Afecta la toma de decisiones con evaluación con resultados - Evidencia documentada.
2. Limita la gestión del conocimiento institucional y el fortalecimiento de la primera y segunda línea del Control interno.</t>
  </si>
  <si>
    <t>El responsable de Sistema integrado de gestión mantendrá actualizado el modelo de operación por procesos una vez al año, realizando socialización de los criterios de buenas prácticas para su implementación, monitoreo, evaluación mediante mesas de trabajo, acompañamiento a los procesos y desarrollo de comités operativos de calidad. Soporte del Control: Informe Trimestral Implementación y mantenimiento del Sistema Integrado de Gestión.</t>
  </si>
  <si>
    <t>El responsable de Sistema Integrado de Gestión realizara revisión y retroalimentación de los lineamientos estratégicos verificando la aplicabilidad y control operacional de los procesos del SIG (evidencia de su operación, administración de riesgos, indicadores y acciones de mejora), con el objetivo de evaluar su aporte en la cadena de valor institucional. Soporte del Control: Informe trimestral revisión de lineamientos estrategicos.</t>
  </si>
  <si>
    <t>Realizar diagnóstico del estado actual de avance de la implementación de los sistemas de gestión (MIPG, Sistema de Gestión de Seguridad de la Información, Sistema de Seguridad y Salud en el Trabajo, Sistema de Calidad en Salud, Sistema de Atención al Usuario y Participación Social, Sistema de Gestión Ambiental).</t>
  </si>
  <si>
    <t>El responsable de Sistema integrado de gestión, realiza mesas de trabajo con el líder del proceso y responsable del sistema de gestión, con el fin de identificar las causas en el porcentaje de avance de implementación del sistema de gestión, definiendo las acciones que se deben adelantar para el cumplimiento de las actividades proyectadas.</t>
  </si>
  <si>
    <t>1.8. Grupo Seguimiento y Evaluación - GRSYE</t>
  </si>
  <si>
    <t>decisiones ajustadas para favorecimiento a terceros</t>
  </si>
  <si>
    <t>no divulgación de la información real evidenciada en el proceso de auditoría.</t>
  </si>
  <si>
    <t>Posibilidad de afectación reputacional por decisiones ajustadas para favorecimiento a terceros en la no divulgación de la información real evidenciada en el proceso de auditoría.</t>
  </si>
  <si>
    <t>Ocultar información sobre hallazgos o no conformidades</t>
  </si>
  <si>
    <t>Pérdida de la imagen institucional
procesos disciplinarios</t>
  </si>
  <si>
    <t xml:space="preserve">sanciones de entes de control </t>
  </si>
  <si>
    <t>incumpliento en el seguimiento, evaluación y reporte de los informes de la gestión y de ley del SSFM</t>
  </si>
  <si>
    <t>Posibilidad afectación reputacional por sanciones de entes de control debido al incumpliento en el seguimiento, evaluación y reporte de los informes de la gestión y de ley del SSFM.</t>
  </si>
  <si>
    <t>1. Cambios constantes en la normatividad.
2. Adherencia a los principios del modelo estándar de control (MECI) autocontrol, autorregulación y auto gestión.</t>
  </si>
  <si>
    <t>1. Reprocesos en los informes de gestión y reportes de ley.
2. Incumplimiento a las actividades establecidas para realizar los informes.
3. Resistencia al cambio por parte del talento humano del SSFM.</t>
  </si>
  <si>
    <t>El Responsable de Evaluación y Seguimiento verifica la idoniedad del personal auditor para realizar la auditoría durante la vigencia, igualmente informa sobre principios y reglas de conducta a seguir en el momento de hacer la auditoría al SSFM.</t>
  </si>
  <si>
    <t>Los auditores seleccionados para el proceso de auditoría interna al Subsistema de Salud de las Fuerzas militares deben tener previo conocimiento del proceso y del estatuto de auditoría, y en especial el correspondiente al capítulo IV Código de Ética del Auditor. Soporte del Control:  Copia de acta reunión preauditoría.</t>
  </si>
  <si>
    <t>El profesional responsable del area de seguimiento y evaluación  consolida los informes de ley (anual, semestral o trimestral), según lo establecido en el cuadro de control que permite realizar seguimiento al cumplimiento de las actividades durante la vigencia. Soporte de Control: Informes reportados durante la vigencia.</t>
  </si>
  <si>
    <t>El Responsable de Evaluación y Seguimiento y los auditories seleccionados para el proceso de aditoria interna al Subsistema de Salud de las Fuerzas militares en la reunión previa a la auditoria se establece la normatividad vigencia aplicable SSFM.</t>
  </si>
  <si>
    <t>El Coordinador de Seguimiento y Evaluación, asigna un funcionario para realizar la verificación del informe de auditoria a los posible ausencias de información frente a la situación real presentada en la auditoria realizada al SSFM.</t>
  </si>
  <si>
    <t xml:space="preserve">
1. El profesional asigando del grupo seguimiento y evaluación  realiza seguimiento trimestralmente a los Indicadores establecidos para el proceso. 
2. El profesional asignado realiza los informes de evaluación del plan de acción del SSFM
3. El Coordinador de Seguimiento y evlauación verifica el cumplimiento en el cuadro de control de las actividades establecias de acuerdo a la periodicidad.</t>
  </si>
  <si>
    <t>El profesional asignado del Grupo de Seguimiento y evaluación reporta a la Coordinación Seguimiento y Evaluciación la materializción del riesgo, para tomar acciones paral cumplimiento de las activiades vencidas.
Realizar un plan de mejoramiento para identificar las brechas que ocasionaron la materialización y definir los ajustes a los controles y/o creación de nuevos controles para el cumplimiento de los informes y actividades proyectadas en la vigencia.</t>
  </si>
  <si>
    <t>1.6. Grupo Asuntos Legales - GRULE</t>
  </si>
  <si>
    <t xml:space="preserve"> afectación reputacional por procesos disciplinarios</t>
  </si>
  <si>
    <t>pérdida de documentos o expedientes en proceso jurídico.</t>
  </si>
  <si>
    <t>Posibilidad afectación reputacional por procesos disciplinarios debido a la  pérdida de documentos o expedientes en proceso jurídico.</t>
  </si>
  <si>
    <t>1. Inadecuada gestión documental por parte de los responsables de cada caso.
2. Insuficiencia de personal propio para el el manejo del proceso documental.
3. falta de control documental</t>
  </si>
  <si>
    <t>1. Dificultad para la consulta de los expedientes.
2. Reprocesos ante la necesidad de reconstrucción de los expedientes.</t>
  </si>
  <si>
    <t>afectación economica y reputacional por sanciones y/o multas</t>
  </si>
  <si>
    <t>elaboración de  conceptos jurídicos sin fundamento normativo actualizado.</t>
  </si>
  <si>
    <t>Posibilidad de afectación economica y reputacional por sanciones y/o multas debido a la elaboración de  conceptos jurídicos sin fundamento normativo actualizado.</t>
  </si>
  <si>
    <t>1. Falta de verificación y control de la normatividad vigente.</t>
  </si>
  <si>
    <t>1. Posible inducción a error para la toma de decisiones 
2. Sanciones o multas económicas o reputacionales encontra de la entidad</t>
  </si>
  <si>
    <t xml:space="preserve">afectación económica y reputacional por sanciones administrativas en desacato a ordenes judiciales </t>
  </si>
  <si>
    <t>respuestas extemporáneas de las acciones constitucionales.</t>
  </si>
  <si>
    <t>Posibilidad de afectación económica y reputacional por sanciones administrativas en desacato a ordenes judiciales debido a las respuestas extemporáneas de las acciones constitucionales.</t>
  </si>
  <si>
    <t>1. Cargas laborales excesivas
2. Demora por parte de terceros en el envío de insumos necesarios para la gestión jurídica
3. Demoras en el reparto de la documentación</t>
  </si>
  <si>
    <t>Sancion Disciplinaria
Sanción Administrativa
Multas
Medidas Carcelarias</t>
  </si>
  <si>
    <t xml:space="preserve"> perdida de la reserva legal en los procesos disciplinarios</t>
  </si>
  <si>
    <t>uso inadecuado de información confidencial para beneficio propio o de treceros.</t>
  </si>
  <si>
    <t>Posiblidad de afectaciòn  reputacional  debido a la perdida de la reserva legal en los procesos disciplinarios por el uso inadecuado de información confidencial para beneficio propio o de treceros.</t>
  </si>
  <si>
    <t>Acceso no autorizado a informaciòn confidencial
Suministro de Informaciòn a Personal no Autorizado.
Areas de almacenamiento sin el cumplimiento de seguridad de integridad de información y de gestión documental.</t>
  </si>
  <si>
    <t>Sanciones de entes de Control
Procesos Disciplilnarios</t>
  </si>
  <si>
    <t>El proceso de asuntos Legales tiene asignado un responsable de gestion documental  mediante acto administrativo, para custodia, organización y transferencia al archivo central DIGSA, igualmente se diligencia formato acuerdo de confidencialidad.</t>
  </si>
  <si>
    <t>La Coordinación de Asuntos legales con el apoyo del gestor documental mantienen reserva y custodia de los expedientes de las acciones constitucionales, el cual para cualquier gestión por parte de funcionario del area de asuntos legales se realizara a traves del gestor documental registrando en el control de prestamos documentales. Soporte de Control: Informe trimestral prestamos por procesos.</t>
  </si>
  <si>
    <t>La Coordinación de Asuntos legales  realiza la transferencias primarias al archivo Central DIGSA de acuerdo al cronograma del Procesos de Gestión Documental, registrando en el forma unico de inventario documental.</t>
  </si>
  <si>
    <t>La Coordinación de Asuntos legales mantiene actualizada la normatividad referente a la misionalidad del Subsistema de Salud de las FFMM, de acuerdo a la solicitudes realizadas por los grupos internos de la DIGSA y las Direcciones de Sanidad EJC, ARC, JEFSA y de acuerdo a la normatividad vigente, registrando la matriz control de legalidad,  soportado en el informe trimestral control de legalidad y emisión de conceptos jurídicos Soporte de Control: Informe trimestral control de legalidad y emisión de conceptos jurídicos.</t>
  </si>
  <si>
    <t>La Coordinación de Asuntos legales verifica semanalmente a través de reportes emitidos por el área de seguimiento, informes y estadísticas jurídicas,  el control de reparto asignado a  cada abogado, con el fin de identificar los términos de ley  y de respuesta, y la actualización dentro del sistema de información POWERAPSS - Acciones Constitucionales.</t>
  </si>
  <si>
    <t>La Coordinación de Asuntos legales verifica los procesos y términos a llegados, para establecer los tiempos de respuesta y pronunciamientos de los despachos judiciales, asignando a los abogados del grupo de asuntos legales para su gestión. Soporte de Control: informa trimestral del principal causal que genera tutelas y peticiones.</t>
  </si>
  <si>
    <t>La Coordinación de Asuntos legales y abogados revisan los lineamientos de elaboración de oficios internos emitidos por el procesos de gestión documental, con el fin de no genera reprocesos en la emisión de respuestas a los despachos judiciales, por devoluciones en ayudantía.</t>
  </si>
  <si>
    <t>La Coordinación de Asuntos legales aplica el compromiso de confidenciabilidad para el uso y manejo de información confidencial, el cual se actualiza cada año  al personal que integra el grupo asuntos legales. Soporte de Control: Cargue de compromisos de confidenciabilidad semestralmente.</t>
  </si>
  <si>
    <t>La Coordinación de Asuntos legales mantiene bajo custodia los expedientes disciplinarios, su acceso es restringido para presonal no autorizado por la coordinación,  para acceder debera allegar el poder de representación del investigado. Soporte de Control: Adjunto poderes de representaciòn trimestralmente.</t>
  </si>
  <si>
    <t>La Coordinación de Asuntos legales revisa los expedientes para verificar el cumplimiento de los requisitos por parte de tercesos para acceder a la informaciòn del proceso, eseeta actividad se realiza a demanda.</t>
  </si>
  <si>
    <t>La Coordinación de Asuntos legales frente a la divulgación, acceso de información confidencial, realizara gestión ante el Ministerio de Defensa Oficina de asuntos disciplinarios para dar inicio la actuación disciplinaria en contral del funcionario infractor.</t>
  </si>
  <si>
    <t>Revisar formato para prestamo de documentos archivo de gestión y  central grupo de asuntos legales.</t>
  </si>
  <si>
    <t xml:space="preserve">0/04/2024
10/07/2024
10/10/2024
10/01/2025
</t>
  </si>
  <si>
    <t xml:space="preserve">Verificación Formato Control prestamo de documento archivo de gestión para establecer el responsable, fecha de prestamo y proceso. Informar  al Coordinador del Grupo Asuntos legales la novedad de documento para la acciones administrativas pertinentes.
</t>
  </si>
  <si>
    <t>Revisión de la normatividad vigente aplicable al subsistemas de salud de las fuerzas militares y regimines de excepción.</t>
  </si>
  <si>
    <t>Ajuste y verificación con jurisprudencia para la emisión final de concepto o lineamiento que se aplique por parte de los grupos internos y las direcciones de sanidad.</t>
  </si>
  <si>
    <t>Seguimiento semanal en la herramienta POWERAPPS - Acciones Constitucionales V2 para identificar posibles incumplimientos dentro de lo allegado.</t>
  </si>
  <si>
    <t>El Área de Seguimiento, informes y estadísticas jurídicas realiza informe a la Coordinación semanal con recomendaciones frente a los hallazgos que se detecten en la actualización de datos por parte de los funcionarios de GRULE.</t>
  </si>
  <si>
    <t>Anualmente actualizar formato de reserva de documentos debido a que los procesos disciplinarios llevan esta condiciòn establecida en la Ley Disciplinaria
Revisiòn periodica de la coordinaciòn GRULE, de todos los documentos que se emitan dentro de una investigaciòn disciplinaria en DIGSA</t>
  </si>
  <si>
    <t>Mensual</t>
  </si>
  <si>
    <t>El Coordinador del Grupo Asuntos Legales realiza la revisiòn formato de reserva documental, con el fin de establecer el responsable de los expedientes disciplinarios.
Iniciar procesos disciplinario por parte de la Coordinación GRULE en contral del funcionario, con el fin de establecer la falta disciplinara en la que se incurio</t>
  </si>
  <si>
    <t>Afectación reputacional en la prestación de servicios de salud del SSFM.</t>
  </si>
  <si>
    <t>Fallta de implementación en las DISANES, JEFSA y ESM de las politicas y lineamientos del Sistema de Calidad en Salud del SSFM.</t>
  </si>
  <si>
    <t>Posiblidad de afectación reputacional en la prestación de servicios de salud debido a la falta de implementación en las DISANES, JEFSA y ESM de las politicas y lineamientos del Sistema de Calidad en Salud.</t>
  </si>
  <si>
    <t>1. Incumplimiento y falta de adherencia de los lineamientos de Sistema de Calidad en Salud del SSFM
2.  Debilidad en la interacción de la comunicación entre los procesos del SSFM.
3. Limitada asignación de los recursos.
4. Falta de competencia del personal para el desarrollo de las actividades propias del proceso en los ESM.
5. Ausencia de herramientas tecnológicas para la captura de datos.
6. Ausencia de Sistema de Información Integral.</t>
  </si>
  <si>
    <t>1. No prestación de los servicios de forma oportuna con criterios de calidad.
2. Aumento del gasto en la Red Externa.
3. Ocurrencia de eventos adversos en la prestación de servicios de Salud en la red propia.
4. Sanciones de entes control y vigilancia.
5. Aumento de PQR o denuncias de usuarios.</t>
  </si>
  <si>
    <t>El Responsable del Grupo de Aseguramiento en salud área de calidad en salud elabora, adopta, adapta y socializa lineamientos del Sistema de Calidad en Salud, para el Subsistema de Salud de las Fuerzas Militares, de acuerdo a la normatividad emitida por el Ministerio de Salud y Protección Social aplicable al régimen de excepción. Soporte del Control:  Se debe describir en el seguimiento las actualizaciones y/o lineamientos adoptados en el trimestre evaluado.</t>
  </si>
  <si>
    <t>El Responsable del Grupo de Aseguramiento en salud área de calidad en salud realiza la consolidación y análisis de los resultados de la implementación de lineamientos y politicas del Sistema de Calidad en Salud del Subsistema de Salud de Fuerzas Militares, remitios por las DISAN (EJC, ARC y JEFSA) de acuerdo a los establecido para cada componente del sistema de calidad en salud, presentado a la Dirección General de Sanidad para su analisis y toma de decisiones. Soporte del Control: Informe Componentes del sistema de calidad en salud Trimestralmente.</t>
  </si>
  <si>
    <t>El Responsable del Grupo de Aseguramiento en salud área de calidad en salud realiza la aprobación y seguimiento de planes de mejoramiento institucionales frente al resultado de implementación de lineamientos y politicas del Sistema de Calidad en Salud del Subsistema de Salud de Fuerzas Militares. Soporte del Control:  Matriz Seguimiento Planes de Mejoramiento.</t>
  </si>
  <si>
    <t>Realizar mesas de trabajo mensuales con las áreas de garantía de calidad en salud de las Direcciones de Sanidad y Jefatura de Salud de la Fuerza Aeroespacial, soportado en actas, formulación de acciones que conlleven al mejoramiento continuo de la prestación de servicios de salud.</t>
  </si>
  <si>
    <t>En Proceso</t>
  </si>
  <si>
    <t xml:space="preserve">
El responsable del Grupo de Aseguramiento en salud área de calidad en salud realizara recapacitación a las DISANES, JEFSA y ESM, de los lineamientos, políticas del Sistema de Calidad en Salud.
El responsable del Grupo de Aseguramiento en salud área de calidad en salud realiza comunicación oficial al Director General de Sanidad Militar sobre el incumplimiento y novedades en la implementación del Sistema de Calidad en Salud en el SSFM, para la acciones que se consideren pertinentes.</t>
  </si>
  <si>
    <t>El responsable de desarrollo intitucional realiza la Identificación cadena de valor anualmente  para la actualización y seguimientos de los Proyectos de Inversión, en la plaforma PIIP. Producto de Control: Ficha de Proyecto Anual.</t>
  </si>
  <si>
    <t>El responsable de desarrollo intitucional realiza seguimiento trimestral a la ejecuciòn de los proyectos de inversiòn en el Sistema PIIP, con el objetivo de verfiacr la ejecuciòn de los recursos asignados. Producto Del Contro: Reporte de seguimiento trimestral.</t>
  </si>
  <si>
    <r>
      <t xml:space="preserve">El líder del área verifica mensualmente las novedades radicadas en correspondencia y el trámite respecto para ingreso en la nómina, el responsable de nómina 1 verifica la pertinencia de las novedades y retroalimenta al líder del área. </t>
    </r>
    <r>
      <rPr>
        <sz val="11"/>
        <color rgb="FFFF0000"/>
        <rFont val="Arial"/>
        <family val="2"/>
      </rPr>
      <t xml:space="preserve"> </t>
    </r>
    <r>
      <rPr>
        <sz val="11"/>
        <color rgb="FF000000"/>
        <rFont val="Arial"/>
        <family val="2"/>
      </rPr>
      <t>Soporte de Control : Informe pago de nómina.</t>
    </r>
  </si>
  <si>
    <r>
      <t>El Área de Tesorería realiza cruce y conciliación de los valores a pagar en la planilla, si la conciliación arroja errores se devuelve para corrección y si está acorde se realiza el proceso de pago. En caso de reporte de errores el responsable del procedimiento de pago seguridad social realiza revisión y ajuste de las novedades presentadas y genera nuevamente el reporte de planilla a el grupo de financiera.</t>
    </r>
    <r>
      <rPr>
        <b/>
        <sz val="11"/>
        <color theme="1"/>
        <rFont val="Arial"/>
        <family val="2"/>
      </rPr>
      <t xml:space="preserve"> </t>
    </r>
  </si>
  <si>
    <r>
      <t xml:space="preserve">El Coordinador Grupo de Trabajo de Talento Humano y las direcciones de Sanidad DISAN EJECITO, DISAN ARMADA, JEFSA, revisan el concepto del estudio de seguridad con resultado favorable, el cua les desarrollado por la Dirección de inteligencia y contrainteligencia del Comando General y de cada Fuerza. </t>
    </r>
    <r>
      <rPr>
        <sz val="11"/>
        <color theme="1"/>
        <rFont val="Arial"/>
        <family val="2"/>
      </rPr>
      <t>Producto Control: Informe mensual de cumplimiento de requisitos de nombramientos.</t>
    </r>
  </si>
  <si>
    <r>
      <rPr>
        <b/>
        <sz val="11"/>
        <color theme="1"/>
        <rFont val="Arial"/>
        <family val="2"/>
      </rPr>
      <t>Posibilidad economica y reputacional</t>
    </r>
    <r>
      <rPr>
        <sz val="11"/>
        <color theme="1"/>
        <rFont val="Arial"/>
        <family val="2"/>
      </rPr>
      <t xml:space="preserve"> por demandas, quejas de los usuarios del Subsistema de Salud de las fuerzas militares por afectación en la prestación  y operación de servicios de salud  </t>
    </r>
    <r>
      <rPr>
        <b/>
        <sz val="11"/>
        <color theme="1"/>
        <rFont val="Arial"/>
        <family val="2"/>
      </rPr>
      <t>debido</t>
    </r>
    <r>
      <rPr>
        <sz val="11"/>
        <color theme="1"/>
        <rFont val="Arial"/>
        <family val="2"/>
      </rPr>
      <t xml:space="preserve"> a politicas, lineamientos fuera del marco normativo y/o adherencia de las mismas que afectan la prestación de los servcios de salud.</t>
    </r>
  </si>
  <si>
    <r>
      <t xml:space="preserve">El Coordinador del Grupo Apoyo Administrativo realiza seguimiento trimestral a través del informe de ejecución de recursos contratados para el apoyo administrativo, verificando lo presupuestado vs lo ejecutado, con el fin garantizar el cumplimiento de la proyección anual. </t>
    </r>
    <r>
      <rPr>
        <b/>
        <sz val="11"/>
        <color theme="1"/>
        <rFont val="Arial"/>
        <family val="2"/>
      </rPr>
      <t>Soporte de Control: Informe trimestral de ejecución recursos contratados para apoyo administrativos.</t>
    </r>
  </si>
  <si>
    <t>MAPA DE RIESGOS INSTITUCIONAL</t>
  </si>
  <si>
    <t>DIRECCION GENERAL DE SANIDAD MILITAR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</si>
</sst>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4" x14ac:knownFonts="1">
    <font>
      <sz val="11"/>
      <color theme="1"/>
      <name val="Calibri"/>
      <family val="2"/>
      <scheme val="minor"/>
    </font>
    <font>
      <b/>
      <sz val="11"/>
      <color theme="1"/>
      <name val="Arial Narrow"/>
      <family val="2"/>
    </font>
    <font>
      <sz val="10"/>
      <color theme="1"/>
      <name val="Calibri"/>
      <family val="2"/>
      <scheme val="minor"/>
    </font>
    <font>
      <sz val="18"/>
      <name val="Arial"/>
      <family val="2"/>
    </font>
    <font>
      <b/>
      <sz val="20"/>
      <color rgb="FF000000"/>
      <name val="Arial Narrow"/>
      <family val="2"/>
    </font>
    <font>
      <sz val="20"/>
      <color rgb="FF000000"/>
      <name val="Arial Narrow"/>
      <family val="2"/>
    </font>
    <font>
      <sz val="20"/>
      <color rgb="FFFFFFFF"/>
      <name val="Arial Narrow"/>
      <family val="2"/>
    </font>
    <font>
      <sz val="11"/>
      <color theme="1"/>
      <name val="Calibri"/>
      <family val="2"/>
      <scheme val="minor"/>
    </font>
    <font>
      <sz val="11"/>
      <name val="Calibri"/>
      <family val="2"/>
      <scheme val="minor"/>
    </font>
    <font>
      <b/>
      <sz val="18"/>
      <color theme="1"/>
      <name val="Arial Narrow"/>
      <family val="2"/>
    </font>
    <font>
      <sz val="11"/>
      <color rgb="FF030303"/>
      <name val="Arial"/>
      <family val="2"/>
    </font>
    <font>
      <sz val="24"/>
      <name val="Arial"/>
      <family val="2"/>
    </font>
    <font>
      <sz val="10"/>
      <name val="Arial"/>
      <family val="2"/>
    </font>
    <font>
      <sz val="12"/>
      <name val="Times New Roman"/>
      <family val="1"/>
    </font>
    <font>
      <sz val="11"/>
      <name val="Arial"/>
      <family val="2"/>
    </font>
    <font>
      <sz val="11"/>
      <color theme="1"/>
      <name val="Arial"/>
      <family val="2"/>
    </font>
    <font>
      <b/>
      <sz val="11"/>
      <color theme="1"/>
      <name val="Arial"/>
      <family val="2"/>
    </font>
    <font>
      <sz val="10"/>
      <color theme="1"/>
      <name val="Arial"/>
      <family val="2"/>
    </font>
    <font>
      <sz val="9"/>
      <color theme="1"/>
      <name val="Arial"/>
      <family val="2"/>
    </font>
    <font>
      <sz val="9"/>
      <color rgb="FFFFFFFF"/>
      <name val="Arial"/>
      <family val="2"/>
    </font>
    <font>
      <sz val="9"/>
      <color rgb="FF000000"/>
      <name val="Arial"/>
      <family val="2"/>
    </font>
    <font>
      <b/>
      <sz val="10"/>
      <color theme="1"/>
      <name val="Arial"/>
      <family val="2"/>
    </font>
    <font>
      <sz val="11"/>
      <color theme="0"/>
      <name val="Arial"/>
      <family val="2"/>
    </font>
    <font>
      <sz val="10"/>
      <color theme="0"/>
      <name val="Arial"/>
      <family val="2"/>
    </font>
    <font>
      <b/>
      <sz val="10"/>
      <color rgb="FF000000"/>
      <name val="Arial"/>
      <family val="2"/>
    </font>
    <font>
      <b/>
      <sz val="9"/>
      <color theme="1"/>
      <name val="Arial"/>
      <family val="2"/>
    </font>
    <font>
      <sz val="10"/>
      <color rgb="FF000000"/>
      <name val="Arial"/>
      <family val="2"/>
    </font>
    <font>
      <b/>
      <sz val="22"/>
      <color theme="1"/>
      <name val="Arial"/>
      <family val="2"/>
    </font>
    <font>
      <b/>
      <sz val="40"/>
      <color rgb="FF000000"/>
      <name val="Arial"/>
      <family val="2"/>
    </font>
    <font>
      <sz val="28"/>
      <color theme="1"/>
      <name val="Arial"/>
      <family val="2"/>
    </font>
    <font>
      <b/>
      <sz val="28"/>
      <color rgb="FF000000"/>
      <name val="Arial"/>
      <family val="2"/>
    </font>
    <font>
      <b/>
      <sz val="36"/>
      <color rgb="FF000000"/>
      <name val="Arial"/>
      <family val="2"/>
    </font>
    <font>
      <sz val="16"/>
      <color theme="1"/>
      <name val="Arial"/>
      <family val="2"/>
    </font>
    <font>
      <sz val="24"/>
      <color theme="1"/>
      <name val="Arial"/>
      <family val="2"/>
    </font>
    <font>
      <sz val="18"/>
      <color theme="1"/>
      <name val="Arial"/>
      <family val="2"/>
    </font>
    <font>
      <b/>
      <sz val="20"/>
      <color theme="1"/>
      <name val="Arial"/>
      <family val="2"/>
    </font>
    <font>
      <b/>
      <sz val="12"/>
      <color rgb="FF000000"/>
      <name val="Arial"/>
      <family val="2"/>
    </font>
    <font>
      <b/>
      <sz val="24"/>
      <color rgb="FF000000"/>
      <name val="Arial"/>
      <family val="2"/>
    </font>
    <font>
      <b/>
      <sz val="18"/>
      <color rgb="FF000000"/>
      <name val="Arial"/>
      <family val="2"/>
    </font>
    <font>
      <sz val="10"/>
      <color rgb="FF0070C0"/>
      <name val="Arial"/>
      <family val="2"/>
    </font>
    <font>
      <sz val="10"/>
      <color rgb="FF00B0F0"/>
      <name val="Arial"/>
      <family val="2"/>
    </font>
    <font>
      <b/>
      <sz val="26"/>
      <color theme="1"/>
      <name val="Arial"/>
      <family val="2"/>
    </font>
    <font>
      <sz val="26"/>
      <color rgb="FF000000"/>
      <name val="Arial"/>
      <family val="2"/>
    </font>
    <font>
      <sz val="26"/>
      <color rgb="FFFFFFFF"/>
      <name val="Arial"/>
      <family val="2"/>
    </font>
    <font>
      <sz val="16"/>
      <color rgb="FF000000"/>
      <name val="Arial"/>
      <family val="2"/>
    </font>
    <font>
      <sz val="16"/>
      <color rgb="FFFF0000"/>
      <name val="Arial"/>
      <family val="2"/>
    </font>
    <font>
      <sz val="11"/>
      <color rgb="FFFF0000"/>
      <name val="Arial"/>
      <family val="2"/>
    </font>
    <font>
      <b/>
      <sz val="11"/>
      <name val="Arial"/>
      <family val="2"/>
    </font>
    <font>
      <b/>
      <sz val="9"/>
      <color indexed="81"/>
      <name val="Tahoma"/>
      <family val="2"/>
    </font>
    <font>
      <sz val="9"/>
      <color indexed="81"/>
      <name val="Tahoma"/>
      <family val="2"/>
    </font>
    <font>
      <b/>
      <sz val="9"/>
      <color indexed="81"/>
      <name val="Arial"/>
      <family val="2"/>
    </font>
    <font>
      <sz val="11"/>
      <color rgb="FF000000"/>
      <name val="Arial"/>
      <family val="2"/>
    </font>
    <font>
      <b/>
      <sz val="24"/>
      <color theme="1"/>
      <name val="Arial"/>
      <family val="2"/>
    </font>
    <font>
      <b/>
      <sz val="24"/>
      <color rgb="FF0070C0"/>
      <name val="Arial"/>
      <family val="2"/>
    </font>
  </fonts>
  <fills count="17">
    <fill>
      <patternFill patternType="none"/>
    </fill>
    <fill>
      <patternFill patternType="gray125"/>
    </fill>
    <fill>
      <patternFill patternType="solid">
        <fgColor theme="0"/>
        <bgColor indexed="64"/>
      </patternFill>
    </fill>
    <fill>
      <patternFill patternType="solid">
        <fgColor rgb="FFFFFF66"/>
        <bgColor indexed="64"/>
      </patternFill>
    </fill>
    <fill>
      <patternFill patternType="solid">
        <fgColor rgb="FF92D050"/>
        <bgColor indexed="64"/>
      </patternFill>
    </fill>
    <fill>
      <patternFill patternType="solid">
        <fgColor rgb="FFBFBFBF"/>
        <bgColor indexed="64"/>
      </patternFill>
    </fill>
    <fill>
      <patternFill patternType="solid">
        <fgColor rgb="FF00B050"/>
        <bgColor indexed="64"/>
      </patternFill>
    </fill>
    <fill>
      <patternFill patternType="solid">
        <fgColor rgb="FFFFC000"/>
        <bgColor indexed="64"/>
      </patternFill>
    </fill>
    <fill>
      <patternFill patternType="solid">
        <fgColor rgb="FFFF0000"/>
        <bgColor indexed="64"/>
      </patternFill>
    </fill>
    <fill>
      <patternFill patternType="solid">
        <fgColor rgb="FFD9D9D9"/>
        <bgColor indexed="64"/>
      </patternFill>
    </fill>
    <fill>
      <patternFill patternType="solid">
        <fgColor rgb="FFE26B0A"/>
        <bgColor indexed="64"/>
      </patternFill>
    </fill>
    <fill>
      <patternFill patternType="solid">
        <fgColor rgb="FFC00000"/>
        <bgColor indexed="64"/>
      </patternFill>
    </fill>
    <fill>
      <patternFill patternType="solid">
        <fgColor rgb="FFFFFF00"/>
        <bgColor indexed="64"/>
      </patternFill>
    </fill>
    <fill>
      <patternFill patternType="solid">
        <fgColor theme="9" tint="-0.249977111117893"/>
        <bgColor indexed="64"/>
      </patternFill>
    </fill>
    <fill>
      <patternFill patternType="solid">
        <fgColor rgb="FF1C497A"/>
        <bgColor indexed="64"/>
      </patternFill>
    </fill>
    <fill>
      <patternFill patternType="solid">
        <fgColor theme="3"/>
        <bgColor indexed="64"/>
      </patternFill>
    </fill>
    <fill>
      <patternFill patternType="solid">
        <fgColor theme="0" tint="-4.9989318521683403E-2"/>
        <bgColor indexed="64"/>
      </patternFill>
    </fill>
  </fills>
  <borders count="40">
    <border>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medium">
        <color indexed="64"/>
      </top>
      <bottom/>
      <diagonal/>
    </border>
    <border>
      <left style="medium">
        <color theme="0"/>
      </left>
      <right/>
      <top style="medium">
        <color theme="0"/>
      </top>
      <bottom/>
      <diagonal/>
    </border>
    <border>
      <left/>
      <right/>
      <top style="medium">
        <color theme="0"/>
      </top>
      <bottom/>
      <diagonal/>
    </border>
    <border>
      <left/>
      <right style="medium">
        <color theme="0"/>
      </right>
      <top style="medium">
        <color theme="0"/>
      </top>
      <bottom/>
      <diagonal/>
    </border>
    <border>
      <left style="medium">
        <color theme="0"/>
      </left>
      <right/>
      <top/>
      <bottom/>
      <diagonal/>
    </border>
    <border>
      <left/>
      <right style="medium">
        <color theme="0"/>
      </right>
      <top/>
      <bottom/>
      <diagonal/>
    </border>
    <border>
      <left style="medium">
        <color theme="0"/>
      </left>
      <right/>
      <top/>
      <bottom style="medium">
        <color theme="0"/>
      </bottom>
      <diagonal/>
    </border>
    <border>
      <left/>
      <right/>
      <top/>
      <bottom style="medium">
        <color theme="0"/>
      </bottom>
      <diagonal/>
    </border>
    <border>
      <left/>
      <right style="medium">
        <color theme="0"/>
      </right>
      <top/>
      <bottom style="medium">
        <color theme="0"/>
      </bottom>
      <diagonal/>
    </border>
    <border>
      <left style="hair">
        <color indexed="64"/>
      </left>
      <right style="hair">
        <color indexed="64"/>
      </right>
      <top style="hair">
        <color indexed="64"/>
      </top>
      <bottom style="hair">
        <color indexed="64"/>
      </bottom>
      <diagonal/>
    </border>
    <border>
      <left style="hair">
        <color auto="1"/>
      </left>
      <right/>
      <top style="hair">
        <color auto="1"/>
      </top>
      <bottom style="hair">
        <color auto="1"/>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theme="1"/>
      </left>
      <right style="hair">
        <color theme="1"/>
      </right>
      <top style="hair">
        <color theme="1"/>
      </top>
      <bottom style="hair">
        <color theme="1"/>
      </bottom>
      <diagonal/>
    </border>
    <border>
      <left style="thick">
        <color theme="0"/>
      </left>
      <right style="thick">
        <color theme="0"/>
      </right>
      <top style="thick">
        <color theme="0"/>
      </top>
      <bottom style="thick">
        <color theme="0"/>
      </bottom>
      <diagonal/>
    </border>
    <border>
      <left style="dotted">
        <color rgb="FFF79646"/>
      </left>
      <right/>
      <top/>
      <bottom style="dotted">
        <color rgb="FFF79646"/>
      </bottom>
      <diagonal/>
    </border>
    <border>
      <left style="dotted">
        <color rgb="FFF79646"/>
      </left>
      <right/>
      <top style="dotted">
        <color rgb="FFF79646"/>
      </top>
      <bottom style="dotted">
        <color rgb="FFF79646"/>
      </bottom>
      <diagonal/>
    </border>
    <border>
      <left/>
      <right/>
      <top style="hair">
        <color indexed="64"/>
      </top>
      <bottom style="hair">
        <color indexed="64"/>
      </bottom>
      <diagonal/>
    </border>
    <border>
      <left style="hair">
        <color rgb="FF4472C4"/>
      </left>
      <right style="hair">
        <color rgb="FF4472C4"/>
      </right>
      <top style="hair">
        <color rgb="FF4472C4"/>
      </top>
      <bottom style="hair">
        <color rgb="FF4472C4"/>
      </bottom>
      <diagonal/>
    </border>
    <border>
      <left style="thick">
        <color theme="0"/>
      </left>
      <right/>
      <top style="thick">
        <color theme="0"/>
      </top>
      <bottom style="thick">
        <color theme="0"/>
      </bottom>
      <diagonal/>
    </border>
    <border>
      <left/>
      <right/>
      <top style="thick">
        <color theme="0"/>
      </top>
      <bottom style="thick">
        <color theme="0"/>
      </bottom>
      <diagonal/>
    </border>
    <border>
      <left/>
      <right style="thick">
        <color theme="0"/>
      </right>
      <top style="thick">
        <color theme="0"/>
      </top>
      <bottom style="thick">
        <color theme="0"/>
      </bottom>
      <diagonal/>
    </border>
    <border>
      <left style="hair">
        <color rgb="FF000000"/>
      </left>
      <right style="hair">
        <color rgb="FF000000"/>
      </right>
      <top style="hair">
        <color rgb="FF000000"/>
      </top>
      <bottom style="hair">
        <color rgb="FF000000"/>
      </bottom>
      <diagonal/>
    </border>
    <border>
      <left style="dashed">
        <color theme="1"/>
      </left>
      <right style="dashed">
        <color theme="1"/>
      </right>
      <top style="dashed">
        <color theme="1"/>
      </top>
      <bottom style="dashed">
        <color theme="1"/>
      </bottom>
      <diagonal/>
    </border>
    <border>
      <left style="dotted">
        <color theme="1"/>
      </left>
      <right style="dotted">
        <color theme="1"/>
      </right>
      <top style="dotted">
        <color theme="1"/>
      </top>
      <bottom style="dotted">
        <color theme="1"/>
      </bottom>
      <diagonal/>
    </border>
    <border>
      <left style="hair">
        <color indexed="64"/>
      </left>
      <right style="hair">
        <color indexed="64"/>
      </right>
      <top style="thick">
        <color theme="0"/>
      </top>
      <bottom/>
      <diagonal/>
    </border>
    <border>
      <left style="dashed">
        <color theme="4" tint="-0.24994659260841701"/>
      </left>
      <right style="dashed">
        <color theme="4" tint="-0.24994659260841701"/>
      </right>
      <top style="dashed">
        <color theme="4" tint="-0.24994659260841701"/>
      </top>
      <bottom style="dashed">
        <color theme="4" tint="-0.24994659260841701"/>
      </bottom>
      <diagonal/>
    </border>
    <border>
      <left style="dashed">
        <color theme="1"/>
      </left>
      <right style="dashed">
        <color theme="1"/>
      </right>
      <top style="dashed">
        <color theme="1"/>
      </top>
      <bottom/>
      <diagonal/>
    </border>
    <border>
      <left style="dashed">
        <color theme="1"/>
      </left>
      <right style="dashed">
        <color theme="1"/>
      </right>
      <top/>
      <bottom/>
      <diagonal/>
    </border>
    <border>
      <left style="dashed">
        <color theme="1"/>
      </left>
      <right style="dashed">
        <color theme="1"/>
      </right>
      <top/>
      <bottom style="dashed">
        <color theme="1"/>
      </bottom>
      <diagonal/>
    </border>
  </borders>
  <cellStyleXfs count="6">
    <xf numFmtId="0" fontId="0" fillId="0" borderId="0"/>
    <xf numFmtId="9" fontId="7" fillId="0" borderId="0" applyFont="0" applyFill="0" applyBorder="0" applyAlignment="0" applyProtection="0"/>
    <xf numFmtId="0" fontId="12" fillId="0" borderId="0"/>
    <xf numFmtId="0" fontId="13" fillId="0" borderId="0"/>
    <xf numFmtId="0" fontId="2" fillId="0" borderId="0"/>
    <xf numFmtId="0" fontId="12" fillId="0" borderId="0"/>
  </cellStyleXfs>
  <cellXfs count="446">
    <xf numFmtId="0" fontId="0" fillId="0" borderId="0" xfId="0"/>
    <xf numFmtId="0" fontId="3" fillId="0" borderId="0" xfId="0" applyFont="1" applyAlignment="1">
      <alignment horizontal="center" vertical="center" wrapText="1"/>
    </xf>
    <xf numFmtId="0" fontId="4" fillId="5" borderId="0" xfId="0" applyFont="1" applyFill="1" applyAlignment="1">
      <alignment horizontal="center" vertical="center" wrapText="1" readingOrder="1"/>
    </xf>
    <xf numFmtId="0" fontId="10" fillId="0" borderId="0" xfId="0" applyFont="1"/>
    <xf numFmtId="0" fontId="0" fillId="2" borderId="0" xfId="0" applyFill="1"/>
    <xf numFmtId="0" fontId="11" fillId="2" borderId="0" xfId="0" applyFont="1" applyFill="1" applyAlignment="1">
      <alignment horizontal="center" vertical="center" wrapText="1"/>
    </xf>
    <xf numFmtId="0" fontId="8" fillId="2" borderId="0" xfId="0" applyFont="1" applyFill="1"/>
    <xf numFmtId="0" fontId="1" fillId="2" borderId="0" xfId="0" applyFont="1" applyFill="1" applyAlignment="1">
      <alignment horizontal="left" vertical="center"/>
    </xf>
    <xf numFmtId="0" fontId="15" fillId="0" borderId="0" xfId="0" applyFont="1"/>
    <xf numFmtId="0" fontId="15" fillId="0" borderId="0" xfId="0" applyFont="1" applyBorder="1"/>
    <xf numFmtId="0" fontId="15" fillId="2" borderId="0" xfId="0" applyFont="1" applyFill="1"/>
    <xf numFmtId="0" fontId="15" fillId="2" borderId="0" xfId="0" applyFont="1" applyFill="1" applyAlignment="1">
      <alignment vertical="center"/>
    </xf>
    <xf numFmtId="0" fontId="15" fillId="0" borderId="0" xfId="0" applyFont="1" applyAlignment="1">
      <alignment vertical="center"/>
    </xf>
    <xf numFmtId="0" fontId="15" fillId="0" borderId="0" xfId="0" applyFont="1" applyAlignment="1">
      <alignment horizontal="center" vertical="center"/>
    </xf>
    <xf numFmtId="0" fontId="15" fillId="0" borderId="0" xfId="0" applyFont="1" applyAlignment="1">
      <alignment horizontal="center"/>
    </xf>
    <xf numFmtId="0" fontId="17" fillId="0" borderId="0" xfId="0" applyFont="1" applyFill="1"/>
    <xf numFmtId="0" fontId="17" fillId="0" borderId="0" xfId="0" applyFont="1" applyFill="1" applyAlignment="1">
      <alignment horizontal="center" vertical="center"/>
    </xf>
    <xf numFmtId="0" fontId="15" fillId="2" borderId="0" xfId="0" applyFont="1" applyFill="1" applyAlignment="1">
      <alignment horizontal="center" vertical="center"/>
    </xf>
    <xf numFmtId="0" fontId="15" fillId="0" borderId="0" xfId="0" applyFont="1" applyAlignment="1">
      <alignment horizontal="center" vertical="center" wrapText="1"/>
    </xf>
    <xf numFmtId="0" fontId="15" fillId="2" borderId="0" xfId="0" applyFont="1" applyFill="1" applyAlignment="1">
      <alignment horizontal="center" vertical="center" wrapText="1"/>
    </xf>
    <xf numFmtId="0" fontId="15" fillId="2" borderId="0" xfId="0" applyFont="1" applyFill="1" applyAlignment="1">
      <alignment vertical="center" wrapText="1"/>
    </xf>
    <xf numFmtId="0" fontId="15" fillId="0" borderId="0" xfId="0" applyFont="1" applyAlignment="1">
      <alignment vertical="center" wrapText="1"/>
    </xf>
    <xf numFmtId="0" fontId="15" fillId="0" borderId="17" xfId="0" applyFont="1" applyBorder="1"/>
    <xf numFmtId="0" fontId="15" fillId="0" borderId="0" xfId="0" applyFont="1" applyFill="1" applyBorder="1" applyAlignment="1">
      <alignment vertical="center"/>
    </xf>
    <xf numFmtId="0" fontId="15" fillId="2" borderId="0" xfId="0" applyFont="1" applyFill="1" applyBorder="1" applyAlignment="1" applyProtection="1">
      <alignment vertical="center"/>
      <protection locked="0"/>
    </xf>
    <xf numFmtId="0" fontId="15" fillId="2" borderId="0" xfId="0" applyFont="1" applyFill="1" applyBorder="1" applyAlignment="1" applyProtection="1">
      <alignment vertical="center" wrapText="1"/>
      <protection locked="0"/>
    </xf>
    <xf numFmtId="0" fontId="25" fillId="0" borderId="17" xfId="4" applyFont="1" applyFill="1" applyBorder="1" applyAlignment="1">
      <alignment horizontal="center" vertical="center" wrapText="1"/>
    </xf>
    <xf numFmtId="0" fontId="18" fillId="0" borderId="17" xfId="4" applyFont="1" applyFill="1" applyBorder="1" applyAlignment="1">
      <alignment horizontal="center" vertical="center" wrapText="1"/>
    </xf>
    <xf numFmtId="0" fontId="25" fillId="0" borderId="17" xfId="0" applyFont="1" applyFill="1" applyBorder="1" applyAlignment="1">
      <alignment horizontal="center" vertical="center" wrapText="1"/>
    </xf>
    <xf numFmtId="0" fontId="24" fillId="0" borderId="17" xfId="0" applyFont="1" applyFill="1" applyBorder="1" applyAlignment="1">
      <alignment horizontal="justify" vertical="center" wrapText="1" readingOrder="1"/>
    </xf>
    <xf numFmtId="0" fontId="26" fillId="0" borderId="17" xfId="0" applyFont="1" applyFill="1" applyBorder="1" applyAlignment="1">
      <alignment horizontal="justify" vertical="center" wrapText="1" readingOrder="1"/>
    </xf>
    <xf numFmtId="0" fontId="24" fillId="0" borderId="0" xfId="0" applyFont="1" applyFill="1" applyBorder="1" applyAlignment="1">
      <alignment horizontal="justify" vertical="center" wrapText="1" readingOrder="1"/>
    </xf>
    <xf numFmtId="0" fontId="21" fillId="0" borderId="0" xfId="0" applyFont="1" applyFill="1" applyAlignment="1">
      <alignment horizontal="left" vertical="center" readingOrder="1"/>
    </xf>
    <xf numFmtId="0" fontId="17" fillId="2" borderId="0" xfId="4" applyFont="1" applyFill="1"/>
    <xf numFmtId="0" fontId="17" fillId="0" borderId="0" xfId="4" applyFont="1" applyFill="1"/>
    <xf numFmtId="0" fontId="15" fillId="0" borderId="17" xfId="0" applyFont="1" applyFill="1" applyBorder="1" applyAlignment="1">
      <alignment horizontal="justify" vertical="center"/>
    </xf>
    <xf numFmtId="0" fontId="15" fillId="0" borderId="17" xfId="0" applyFont="1" applyBorder="1" applyAlignment="1">
      <alignment horizontal="justify" vertical="center"/>
    </xf>
    <xf numFmtId="0" fontId="16" fillId="0" borderId="0" xfId="0" applyFont="1" applyFill="1" applyBorder="1" applyAlignment="1">
      <alignment horizontal="justify" vertical="center"/>
    </xf>
    <xf numFmtId="0" fontId="32" fillId="2" borderId="0" xfId="0" applyFont="1" applyFill="1" applyAlignment="1">
      <alignment vertical="center"/>
    </xf>
    <xf numFmtId="0" fontId="36" fillId="10" borderId="1" xfId="0" applyFont="1" applyFill="1" applyBorder="1" applyAlignment="1" applyProtection="1">
      <alignment horizontal="center" vertical="center" wrapText="1" readingOrder="1"/>
      <protection hidden="1"/>
    </xf>
    <xf numFmtId="0" fontId="36" fillId="10" borderId="8" xfId="0" applyFont="1" applyFill="1" applyBorder="1" applyAlignment="1" applyProtection="1">
      <alignment horizontal="center" vertical="center" wrapText="1" readingOrder="1"/>
      <protection hidden="1"/>
    </xf>
    <xf numFmtId="0" fontId="36" fillId="10" borderId="2" xfId="0" applyFont="1" applyFill="1" applyBorder="1" applyAlignment="1" applyProtection="1">
      <alignment horizontal="center" vertical="center" wrapText="1" readingOrder="1"/>
      <protection hidden="1"/>
    </xf>
    <xf numFmtId="0" fontId="36" fillId="11" borderId="1" xfId="0" applyFont="1" applyFill="1" applyBorder="1" applyAlignment="1" applyProtection="1">
      <alignment horizontal="center" wrapText="1" readingOrder="1"/>
      <protection hidden="1"/>
    </xf>
    <xf numFmtId="0" fontId="36" fillId="11" borderId="8" xfId="0" applyFont="1" applyFill="1" applyBorder="1" applyAlignment="1" applyProtection="1">
      <alignment horizontal="center" wrapText="1" readingOrder="1"/>
      <protection hidden="1"/>
    </xf>
    <xf numFmtId="0" fontId="36" fillId="11" borderId="2" xfId="0" applyFont="1" applyFill="1" applyBorder="1" applyAlignment="1" applyProtection="1">
      <alignment horizontal="center" wrapText="1" readingOrder="1"/>
      <protection hidden="1"/>
    </xf>
    <xf numFmtId="0" fontId="36" fillId="10" borderId="3" xfId="0" applyFont="1" applyFill="1" applyBorder="1" applyAlignment="1" applyProtection="1">
      <alignment horizontal="center" vertical="center" wrapText="1" readingOrder="1"/>
      <protection hidden="1"/>
    </xf>
    <xf numFmtId="0" fontId="36" fillId="10" borderId="0" xfId="0" applyFont="1" applyFill="1" applyBorder="1" applyAlignment="1" applyProtection="1">
      <alignment horizontal="center" vertical="center" wrapText="1" readingOrder="1"/>
      <protection hidden="1"/>
    </xf>
    <xf numFmtId="0" fontId="36" fillId="10" borderId="4" xfId="0" applyFont="1" applyFill="1" applyBorder="1" applyAlignment="1" applyProtection="1">
      <alignment horizontal="center" vertical="center" wrapText="1" readingOrder="1"/>
      <protection hidden="1"/>
    </xf>
    <xf numFmtId="0" fontId="36" fillId="11" borderId="3" xfId="0" applyFont="1" applyFill="1" applyBorder="1" applyAlignment="1" applyProtection="1">
      <alignment horizontal="center" wrapText="1" readingOrder="1"/>
      <protection hidden="1"/>
    </xf>
    <xf numFmtId="0" fontId="36" fillId="11" borderId="0" xfId="0" applyFont="1" applyFill="1" applyBorder="1" applyAlignment="1" applyProtection="1">
      <alignment horizontal="center" wrapText="1" readingOrder="1"/>
      <protection hidden="1"/>
    </xf>
    <xf numFmtId="0" fontId="36" fillId="11" borderId="4" xfId="0" applyFont="1" applyFill="1" applyBorder="1" applyAlignment="1" applyProtection="1">
      <alignment horizontal="center" wrapText="1" readingOrder="1"/>
      <protection hidden="1"/>
    </xf>
    <xf numFmtId="0" fontId="36" fillId="10" borderId="0" xfId="0" applyFont="1" applyFill="1" applyAlignment="1" applyProtection="1">
      <alignment horizontal="center" vertical="center" wrapText="1" readingOrder="1"/>
      <protection hidden="1"/>
    </xf>
    <xf numFmtId="0" fontId="36" fillId="10" borderId="5" xfId="0" applyFont="1" applyFill="1" applyBorder="1" applyAlignment="1" applyProtection="1">
      <alignment horizontal="center" vertical="center" wrapText="1" readingOrder="1"/>
      <protection hidden="1"/>
    </xf>
    <xf numFmtId="0" fontId="36" fillId="10" borderId="7" xfId="0" applyFont="1" applyFill="1" applyBorder="1" applyAlignment="1" applyProtection="1">
      <alignment horizontal="center" vertical="center" wrapText="1" readingOrder="1"/>
      <protection hidden="1"/>
    </xf>
    <xf numFmtId="0" fontId="36" fillId="10" borderId="6" xfId="0" applyFont="1" applyFill="1" applyBorder="1" applyAlignment="1" applyProtection="1">
      <alignment horizontal="center" vertical="center" wrapText="1" readingOrder="1"/>
      <protection hidden="1"/>
    </xf>
    <xf numFmtId="0" fontId="36" fillId="11" borderId="5" xfId="0" applyFont="1" applyFill="1" applyBorder="1" applyAlignment="1" applyProtection="1">
      <alignment horizontal="center" wrapText="1" readingOrder="1"/>
      <protection hidden="1"/>
    </xf>
    <xf numFmtId="0" fontId="36" fillId="11" borderId="7" xfId="0" applyFont="1" applyFill="1" applyBorder="1" applyAlignment="1" applyProtection="1">
      <alignment horizontal="center" wrapText="1" readingOrder="1"/>
      <protection hidden="1"/>
    </xf>
    <xf numFmtId="0" fontId="36" fillId="11" borderId="6" xfId="0" applyFont="1" applyFill="1" applyBorder="1" applyAlignment="1" applyProtection="1">
      <alignment horizontal="center" wrapText="1" readingOrder="1"/>
      <protection hidden="1"/>
    </xf>
    <xf numFmtId="0" fontId="36" fillId="12" borderId="1" xfId="0" applyFont="1" applyFill="1" applyBorder="1" applyAlignment="1" applyProtection="1">
      <alignment horizontal="center" wrapText="1" readingOrder="1"/>
      <protection hidden="1"/>
    </xf>
    <xf numFmtId="0" fontId="36" fillId="12" borderId="8" xfId="0" applyFont="1" applyFill="1" applyBorder="1" applyAlignment="1" applyProtection="1">
      <alignment horizontal="center" wrapText="1" readingOrder="1"/>
      <protection hidden="1"/>
    </xf>
    <xf numFmtId="0" fontId="36" fillId="12" borderId="2" xfId="0" applyFont="1" applyFill="1" applyBorder="1" applyAlignment="1" applyProtection="1">
      <alignment horizontal="center" wrapText="1" readingOrder="1"/>
      <protection hidden="1"/>
    </xf>
    <xf numFmtId="0" fontId="36" fillId="12" borderId="3" xfId="0" applyFont="1" applyFill="1" applyBorder="1" applyAlignment="1" applyProtection="1">
      <alignment horizontal="center" wrapText="1" readingOrder="1"/>
      <protection hidden="1"/>
    </xf>
    <xf numFmtId="0" fontId="36" fillId="12" borderId="0" xfId="0" applyFont="1" applyFill="1" applyBorder="1" applyAlignment="1" applyProtection="1">
      <alignment horizontal="center" wrapText="1" readingOrder="1"/>
      <protection hidden="1"/>
    </xf>
    <xf numFmtId="0" fontId="36" fillId="12" borderId="4" xfId="0" applyFont="1" applyFill="1" applyBorder="1" applyAlignment="1" applyProtection="1">
      <alignment horizontal="center" wrapText="1" readingOrder="1"/>
      <protection hidden="1"/>
    </xf>
    <xf numFmtId="0" fontId="36" fillId="12" borderId="5" xfId="0" applyFont="1" applyFill="1" applyBorder="1" applyAlignment="1" applyProtection="1">
      <alignment horizontal="center" wrapText="1" readingOrder="1"/>
      <protection hidden="1"/>
    </xf>
    <xf numFmtId="0" fontId="36" fillId="12" borderId="7" xfId="0" applyFont="1" applyFill="1" applyBorder="1" applyAlignment="1" applyProtection="1">
      <alignment horizontal="center" wrapText="1" readingOrder="1"/>
      <protection hidden="1"/>
    </xf>
    <xf numFmtId="0" fontId="36" fillId="12" borderId="6" xfId="0" applyFont="1" applyFill="1" applyBorder="1" applyAlignment="1" applyProtection="1">
      <alignment horizontal="center" wrapText="1" readingOrder="1"/>
      <protection hidden="1"/>
    </xf>
    <xf numFmtId="0" fontId="36" fillId="4" borderId="1" xfId="0" applyFont="1" applyFill="1" applyBorder="1" applyAlignment="1" applyProtection="1">
      <alignment horizontal="center" wrapText="1" readingOrder="1"/>
      <protection hidden="1"/>
    </xf>
    <xf numFmtId="0" fontId="36" fillId="4" borderId="8" xfId="0" applyFont="1" applyFill="1" applyBorder="1" applyAlignment="1" applyProtection="1">
      <alignment horizontal="center" wrapText="1" readingOrder="1"/>
      <protection hidden="1"/>
    </xf>
    <xf numFmtId="0" fontId="36" fillId="4" borderId="2" xfId="0" applyFont="1" applyFill="1" applyBorder="1" applyAlignment="1" applyProtection="1">
      <alignment horizontal="center" wrapText="1" readingOrder="1"/>
      <protection hidden="1"/>
    </xf>
    <xf numFmtId="0" fontId="36" fillId="4" borderId="3" xfId="0" applyFont="1" applyFill="1" applyBorder="1" applyAlignment="1" applyProtection="1">
      <alignment horizontal="center" wrapText="1" readingOrder="1"/>
      <protection hidden="1"/>
    </xf>
    <xf numFmtId="0" fontId="36" fillId="4" borderId="0" xfId="0" applyFont="1" applyFill="1" applyBorder="1" applyAlignment="1" applyProtection="1">
      <alignment horizontal="center" wrapText="1" readingOrder="1"/>
      <protection hidden="1"/>
    </xf>
    <xf numFmtId="0" fontId="36" fillId="4" borderId="4" xfId="0" applyFont="1" applyFill="1" applyBorder="1" applyAlignment="1" applyProtection="1">
      <alignment horizontal="center" wrapText="1" readingOrder="1"/>
      <protection hidden="1"/>
    </xf>
    <xf numFmtId="0" fontId="36" fillId="4" borderId="5" xfId="0" applyFont="1" applyFill="1" applyBorder="1" applyAlignment="1" applyProtection="1">
      <alignment horizontal="center" wrapText="1" readingOrder="1"/>
      <protection hidden="1"/>
    </xf>
    <xf numFmtId="0" fontId="36" fillId="4" borderId="7" xfId="0" applyFont="1" applyFill="1" applyBorder="1" applyAlignment="1" applyProtection="1">
      <alignment horizontal="center" wrapText="1" readingOrder="1"/>
      <protection hidden="1"/>
    </xf>
    <xf numFmtId="0" fontId="36" fillId="4" borderId="6" xfId="0" applyFont="1" applyFill="1" applyBorder="1" applyAlignment="1" applyProtection="1">
      <alignment horizontal="center" wrapText="1" readingOrder="1"/>
      <protection hidden="1"/>
    </xf>
    <xf numFmtId="0" fontId="38" fillId="12" borderId="8" xfId="0" applyFont="1" applyFill="1" applyBorder="1" applyAlignment="1" applyProtection="1">
      <alignment horizontal="center" wrapText="1" readingOrder="1"/>
      <protection hidden="1"/>
    </xf>
    <xf numFmtId="0" fontId="23" fillId="14" borderId="24" xfId="0" applyFont="1" applyFill="1" applyBorder="1" applyAlignment="1">
      <alignment horizontal="center" vertical="center" textRotation="90" wrapText="1"/>
    </xf>
    <xf numFmtId="0" fontId="17" fillId="0" borderId="0" xfId="0" applyFont="1" applyBorder="1" applyAlignment="1">
      <alignment vertical="center"/>
    </xf>
    <xf numFmtId="0" fontId="17" fillId="0" borderId="0" xfId="0" applyFont="1" applyBorder="1"/>
    <xf numFmtId="0" fontId="17" fillId="0" borderId="0" xfId="0" applyFont="1" applyBorder="1" applyAlignment="1">
      <alignment vertical="center" wrapText="1"/>
    </xf>
    <xf numFmtId="0" fontId="17" fillId="0" borderId="0" xfId="0" applyFont="1" applyBorder="1" applyAlignment="1">
      <alignment horizontal="center" vertical="center" wrapText="1"/>
    </xf>
    <xf numFmtId="0" fontId="17" fillId="0" borderId="0" xfId="0" applyFont="1" applyBorder="1" applyAlignment="1">
      <alignment horizontal="center" vertical="center"/>
    </xf>
    <xf numFmtId="0" fontId="40" fillId="0" borderId="0" xfId="0" applyFont="1" applyBorder="1" applyAlignment="1">
      <alignment vertical="center"/>
    </xf>
    <xf numFmtId="0" fontId="17" fillId="2" borderId="0" xfId="0" applyFont="1" applyFill="1" applyBorder="1" applyAlignment="1" applyProtection="1">
      <alignment vertical="center"/>
      <protection locked="0"/>
    </xf>
    <xf numFmtId="0" fontId="17" fillId="2" borderId="0" xfId="0" applyFont="1" applyFill="1" applyBorder="1" applyAlignment="1">
      <alignment vertical="center" wrapText="1"/>
    </xf>
    <xf numFmtId="0" fontId="17" fillId="2" borderId="0" xfId="0" applyFont="1" applyFill="1" applyBorder="1" applyAlignment="1">
      <alignment horizontal="center" vertical="center" wrapText="1"/>
    </xf>
    <xf numFmtId="0" fontId="17" fillId="2" borderId="0" xfId="0" applyFont="1" applyFill="1" applyBorder="1"/>
    <xf numFmtId="0" fontId="17" fillId="2" borderId="0" xfId="0" applyFont="1" applyFill="1" applyBorder="1" applyAlignment="1">
      <alignment horizontal="center" vertical="center"/>
    </xf>
    <xf numFmtId="0" fontId="17" fillId="2" borderId="0" xfId="0" applyFont="1" applyFill="1" applyBorder="1" applyAlignment="1" applyProtection="1">
      <alignment vertical="center" wrapText="1"/>
      <protection locked="0"/>
    </xf>
    <xf numFmtId="0" fontId="17" fillId="2" borderId="0" xfId="0" applyFont="1" applyFill="1" applyBorder="1" applyAlignment="1">
      <alignment vertical="center"/>
    </xf>
    <xf numFmtId="0" fontId="5" fillId="4" borderId="25" xfId="0" applyFont="1" applyFill="1" applyBorder="1" applyAlignment="1">
      <alignment horizontal="center" vertical="center" wrapText="1" readingOrder="1"/>
    </xf>
    <xf numFmtId="0" fontId="5" fillId="6" borderId="26" xfId="0" applyFont="1" applyFill="1" applyBorder="1" applyAlignment="1">
      <alignment horizontal="center" vertical="center" wrapText="1" readingOrder="1"/>
    </xf>
    <xf numFmtId="0" fontId="5" fillId="3" borderId="26" xfId="0" applyFont="1" applyFill="1" applyBorder="1" applyAlignment="1">
      <alignment horizontal="center" vertical="center" wrapText="1" readingOrder="1"/>
    </xf>
    <xf numFmtId="0" fontId="5" fillId="7" borderId="26" xfId="0" applyFont="1" applyFill="1" applyBorder="1" applyAlignment="1">
      <alignment horizontal="center" vertical="center" wrapText="1" readingOrder="1"/>
    </xf>
    <xf numFmtId="0" fontId="6" fillId="8" borderId="26" xfId="0" applyFont="1" applyFill="1" applyBorder="1" applyAlignment="1">
      <alignment horizontal="center" vertical="center" wrapText="1" readingOrder="1"/>
    </xf>
    <xf numFmtId="0" fontId="5" fillId="0" borderId="23" xfId="0" applyFont="1" applyBorder="1" applyAlignment="1">
      <alignment horizontal="justify" vertical="center" wrapText="1" readingOrder="1"/>
    </xf>
    <xf numFmtId="9" fontId="5" fillId="0" borderId="23" xfId="0" applyNumberFormat="1" applyFont="1" applyBorder="1" applyAlignment="1">
      <alignment horizontal="center" vertical="center" wrapText="1" readingOrder="1"/>
    </xf>
    <xf numFmtId="0" fontId="37" fillId="5" borderId="0" xfId="0" applyFont="1" applyFill="1" applyAlignment="1">
      <alignment horizontal="center" vertical="center" wrapText="1" readingOrder="1"/>
    </xf>
    <xf numFmtId="0" fontId="22" fillId="2" borderId="0" xfId="0" applyFont="1" applyFill="1"/>
    <xf numFmtId="0" fontId="42" fillId="4" borderId="25" xfId="0" applyFont="1" applyFill="1" applyBorder="1" applyAlignment="1">
      <alignment horizontal="center" vertical="center" wrapText="1" readingOrder="1"/>
    </xf>
    <xf numFmtId="0" fontId="42" fillId="0" borderId="23" xfId="0" applyFont="1" applyBorder="1" applyAlignment="1">
      <alignment horizontal="center" vertical="center" wrapText="1" readingOrder="1"/>
    </xf>
    <xf numFmtId="0" fontId="42" fillId="0" borderId="23" xfId="0" applyFont="1" applyBorder="1" applyAlignment="1">
      <alignment horizontal="justify" vertical="center" wrapText="1" readingOrder="1"/>
    </xf>
    <xf numFmtId="0" fontId="42" fillId="6" borderId="26" xfId="0" applyFont="1" applyFill="1" applyBorder="1" applyAlignment="1">
      <alignment horizontal="center" vertical="center" wrapText="1" readingOrder="1"/>
    </xf>
    <xf numFmtId="0" fontId="42" fillId="3" borderId="26" xfId="0" applyFont="1" applyFill="1" applyBorder="1" applyAlignment="1">
      <alignment horizontal="center" vertical="center" wrapText="1" readingOrder="1"/>
    </xf>
    <xf numFmtId="0" fontId="42" fillId="7" borderId="26" xfId="0" applyFont="1" applyFill="1" applyBorder="1" applyAlignment="1">
      <alignment horizontal="center" vertical="center" wrapText="1" readingOrder="1"/>
    </xf>
    <xf numFmtId="0" fontId="43" fillId="8" borderId="26" xfId="0" applyFont="1" applyFill="1" applyBorder="1" applyAlignment="1">
      <alignment horizontal="center" vertical="center" wrapText="1" readingOrder="1"/>
    </xf>
    <xf numFmtId="0" fontId="44" fillId="2" borderId="0" xfId="0" applyFont="1" applyFill="1" applyBorder="1" applyAlignment="1">
      <alignment horizontal="justify" vertical="center" wrapText="1" readingOrder="1"/>
    </xf>
    <xf numFmtId="0" fontId="16" fillId="2" borderId="0" xfId="0" applyFont="1" applyFill="1" applyAlignment="1">
      <alignment vertical="center"/>
    </xf>
    <xf numFmtId="0" fontId="14" fillId="2" borderId="0" xfId="0" applyFont="1" applyFill="1"/>
    <xf numFmtId="0" fontId="22" fillId="0" borderId="0" xfId="0" applyFont="1"/>
    <xf numFmtId="0" fontId="44" fillId="0" borderId="0" xfId="0" applyFont="1" applyBorder="1" applyAlignment="1">
      <alignment horizontal="justify" vertical="center" wrapText="1" readingOrder="1"/>
    </xf>
    <xf numFmtId="0" fontId="45" fillId="0" borderId="0" xfId="0" applyFont="1" applyFill="1" applyAlignment="1">
      <alignment vertical="center"/>
    </xf>
    <xf numFmtId="0" fontId="15" fillId="0" borderId="0" xfId="0" pivotButton="1" applyFont="1"/>
    <xf numFmtId="0" fontId="45" fillId="0" borderId="0" xfId="0" applyFont="1" applyFill="1"/>
    <xf numFmtId="0" fontId="46" fillId="0" borderId="0" xfId="0" applyFont="1"/>
    <xf numFmtId="0" fontId="14" fillId="0" borderId="0" xfId="0" applyFont="1"/>
    <xf numFmtId="0" fontId="20" fillId="0" borderId="28" xfId="0" applyFont="1" applyBorder="1" applyAlignment="1">
      <alignment horizontal="center" vertical="center"/>
    </xf>
    <xf numFmtId="0" fontId="20" fillId="0" borderId="28" xfId="0" applyFont="1" applyBorder="1" applyAlignment="1">
      <alignment vertical="center"/>
    </xf>
    <xf numFmtId="0" fontId="20" fillId="0" borderId="28" xfId="0" applyFont="1" applyBorder="1" applyAlignment="1">
      <alignment vertical="center" wrapText="1"/>
    </xf>
    <xf numFmtId="0" fontId="19" fillId="14" borderId="28" xfId="0" applyFont="1" applyFill="1" applyBorder="1" applyAlignment="1">
      <alignment horizontal="center" vertical="center"/>
    </xf>
    <xf numFmtId="0" fontId="19" fillId="0" borderId="0" xfId="0" applyFont="1" applyAlignment="1">
      <alignment horizontal="center" vertical="center"/>
    </xf>
    <xf numFmtId="0" fontId="19" fillId="0" borderId="0" xfId="0" applyFont="1" applyAlignment="1">
      <alignment horizontal="center" vertical="center" wrapText="1"/>
    </xf>
    <xf numFmtId="0" fontId="20" fillId="0" borderId="0" xfId="0" applyFont="1" applyAlignment="1">
      <alignment horizontal="center" vertical="center" wrapText="1"/>
    </xf>
    <xf numFmtId="0" fontId="18" fillId="0" borderId="0" xfId="0" applyFont="1" applyAlignment="1">
      <alignment horizontal="center" vertical="center" wrapText="1"/>
    </xf>
    <xf numFmtId="49" fontId="0" fillId="0" borderId="0" xfId="0" applyNumberFormat="1"/>
    <xf numFmtId="0" fontId="20" fillId="0" borderId="0" xfId="0" applyFont="1" applyAlignment="1">
      <alignment vertical="center"/>
    </xf>
    <xf numFmtId="0" fontId="19" fillId="15" borderId="17" xfId="0" applyFont="1" applyFill="1" applyBorder="1" applyAlignment="1">
      <alignment horizontal="center" vertical="center" wrapText="1"/>
    </xf>
    <xf numFmtId="0" fontId="20" fillId="0" borderId="17" xfId="0" applyFont="1" applyBorder="1" applyAlignment="1">
      <alignment vertical="center"/>
    </xf>
    <xf numFmtId="0" fontId="20" fillId="12" borderId="17" xfId="0" applyFont="1" applyFill="1" applyBorder="1" applyAlignment="1">
      <alignment horizontal="center" vertical="center" wrapText="1"/>
    </xf>
    <xf numFmtId="0" fontId="18" fillId="13" borderId="17" xfId="0" applyFont="1" applyFill="1" applyBorder="1" applyAlignment="1">
      <alignment horizontal="center" vertical="center" wrapText="1"/>
    </xf>
    <xf numFmtId="0" fontId="20" fillId="8" borderId="17" xfId="0" applyFont="1" applyFill="1" applyBorder="1" applyAlignment="1">
      <alignment horizontal="center" vertical="center" wrapText="1"/>
    </xf>
    <xf numFmtId="0" fontId="16" fillId="0" borderId="0" xfId="0" applyFont="1"/>
    <xf numFmtId="0" fontId="47" fillId="14" borderId="17" xfId="0" applyFont="1" applyFill="1" applyBorder="1" applyAlignment="1">
      <alignment horizontal="center" vertical="center" wrapText="1" readingOrder="1"/>
    </xf>
    <xf numFmtId="0" fontId="47" fillId="2" borderId="17" xfId="0" applyFont="1" applyFill="1" applyBorder="1" applyAlignment="1">
      <alignment horizontal="center" vertical="center" wrapText="1" readingOrder="1"/>
    </xf>
    <xf numFmtId="0" fontId="14" fillId="2" borderId="17" xfId="0" applyFont="1" applyFill="1" applyBorder="1" applyAlignment="1">
      <alignment horizontal="justify" vertical="center" wrapText="1" readingOrder="1"/>
    </xf>
    <xf numFmtId="9" fontId="47" fillId="2" borderId="17" xfId="0" applyNumberFormat="1" applyFont="1" applyFill="1" applyBorder="1" applyAlignment="1">
      <alignment horizontal="center" vertical="center" wrapText="1" readingOrder="1"/>
    </xf>
    <xf numFmtId="0" fontId="14" fillId="2" borderId="17" xfId="0" applyFont="1" applyFill="1" applyBorder="1" applyAlignment="1">
      <alignment horizontal="center" vertical="center" wrapText="1" readingOrder="1"/>
    </xf>
    <xf numFmtId="0" fontId="47" fillId="2" borderId="0" xfId="0" applyFont="1" applyFill="1"/>
    <xf numFmtId="0" fontId="15" fillId="0" borderId="33" xfId="0" applyFont="1" applyBorder="1" applyAlignment="1" applyProtection="1">
      <alignment horizontal="center" vertical="center" textRotation="90" wrapText="1"/>
      <protection locked="0"/>
    </xf>
    <xf numFmtId="0" fontId="15" fillId="0" borderId="33" xfId="0" applyFont="1" applyBorder="1" applyAlignment="1" applyProtection="1">
      <alignment horizontal="center" vertical="center" textRotation="90"/>
      <protection locked="0"/>
    </xf>
    <xf numFmtId="0" fontId="15" fillId="0" borderId="33" xfId="0" applyFont="1" applyBorder="1" applyAlignment="1" applyProtection="1">
      <alignment horizontal="justify" vertical="center" wrapText="1"/>
      <protection locked="0"/>
    </xf>
    <xf numFmtId="0" fontId="15" fillId="0" borderId="22" xfId="0" applyFont="1" applyBorder="1" applyAlignment="1" applyProtection="1">
      <alignment horizontal="center" vertical="center"/>
    </xf>
    <xf numFmtId="0" fontId="51" fillId="0" borderId="32" xfId="0" applyFont="1" applyBorder="1" applyAlignment="1">
      <alignment horizontal="justify" vertical="center" wrapText="1"/>
    </xf>
    <xf numFmtId="0" fontId="15" fillId="16" borderId="22" xfId="0" applyFont="1" applyFill="1" applyBorder="1" applyAlignment="1" applyProtection="1">
      <alignment horizontal="center" vertical="center"/>
      <protection hidden="1"/>
    </xf>
    <xf numFmtId="0" fontId="15" fillId="0" borderId="22" xfId="0" applyFont="1" applyBorder="1" applyAlignment="1" applyProtection="1">
      <alignment horizontal="center" vertical="center" textRotation="90" wrapText="1"/>
      <protection locked="0"/>
    </xf>
    <xf numFmtId="9" fontId="15" fillId="16" borderId="22" xfId="0" applyNumberFormat="1" applyFont="1" applyFill="1" applyBorder="1" applyAlignment="1" applyProtection="1">
      <alignment horizontal="center" vertical="center" wrapText="1"/>
      <protection hidden="1"/>
    </xf>
    <xf numFmtId="164" fontId="15" fillId="0" borderId="22" xfId="1" applyNumberFormat="1" applyFont="1" applyBorder="1" applyAlignment="1">
      <alignment horizontal="center" vertical="top"/>
    </xf>
    <xf numFmtId="0" fontId="16" fillId="16" borderId="22" xfId="0" applyFont="1" applyFill="1" applyBorder="1" applyAlignment="1" applyProtection="1">
      <alignment horizontal="center" vertical="center" textRotation="90" wrapText="1"/>
      <protection hidden="1"/>
    </xf>
    <xf numFmtId="9" fontId="15" fillId="16" borderId="22" xfId="0" applyNumberFormat="1" applyFont="1" applyFill="1" applyBorder="1" applyAlignment="1" applyProtection="1">
      <alignment horizontal="center" vertical="center"/>
      <protection hidden="1"/>
    </xf>
    <xf numFmtId="0" fontId="16" fillId="16" borderId="22" xfId="0" applyFont="1" applyFill="1" applyBorder="1" applyAlignment="1" applyProtection="1">
      <alignment horizontal="center" vertical="center" textRotation="90"/>
      <protection hidden="1"/>
    </xf>
    <xf numFmtId="0" fontId="15" fillId="0" borderId="22" xfId="0" applyFont="1" applyBorder="1" applyAlignment="1" applyProtection="1">
      <alignment horizontal="center" vertical="center" textRotation="90"/>
      <protection locked="0"/>
    </xf>
    <xf numFmtId="0" fontId="15" fillId="0" borderId="17" xfId="0" applyFont="1" applyBorder="1" applyAlignment="1" applyProtection="1">
      <alignment horizontal="center" vertical="center"/>
    </xf>
    <xf numFmtId="0" fontId="15" fillId="16" borderId="17" xfId="0" applyFont="1" applyFill="1" applyBorder="1" applyAlignment="1" applyProtection="1">
      <alignment horizontal="center" vertical="center"/>
      <protection hidden="1"/>
    </xf>
    <xf numFmtId="0" fontId="15" fillId="0" borderId="17" xfId="0" applyFont="1" applyBorder="1" applyAlignment="1" applyProtection="1">
      <alignment horizontal="center" vertical="center" textRotation="90" wrapText="1"/>
      <protection locked="0"/>
    </xf>
    <xf numFmtId="9" fontId="15" fillId="16" borderId="17" xfId="0" applyNumberFormat="1" applyFont="1" applyFill="1" applyBorder="1" applyAlignment="1" applyProtection="1">
      <alignment horizontal="center" vertical="center" wrapText="1"/>
      <protection hidden="1"/>
    </xf>
    <xf numFmtId="164" fontId="15" fillId="0" borderId="17" xfId="1" applyNumberFormat="1" applyFont="1" applyBorder="1" applyAlignment="1">
      <alignment horizontal="center" vertical="top"/>
    </xf>
    <xf numFmtId="0" fontId="16" fillId="16" borderId="17" xfId="0" applyFont="1" applyFill="1" applyBorder="1" applyAlignment="1" applyProtection="1">
      <alignment horizontal="center" vertical="center" textRotation="90" wrapText="1"/>
      <protection hidden="1"/>
    </xf>
    <xf numFmtId="9" fontId="15" fillId="16" borderId="17" xfId="0" applyNumberFormat="1" applyFont="1" applyFill="1" applyBorder="1" applyAlignment="1" applyProtection="1">
      <alignment horizontal="center" vertical="center"/>
      <protection hidden="1"/>
    </xf>
    <xf numFmtId="0" fontId="16" fillId="16" borderId="17" xfId="0" applyFont="1" applyFill="1" applyBorder="1" applyAlignment="1" applyProtection="1">
      <alignment horizontal="center" vertical="center" textRotation="90"/>
      <protection hidden="1"/>
    </xf>
    <xf numFmtId="0" fontId="15" fillId="0" borderId="17" xfId="0" applyFont="1" applyBorder="1" applyAlignment="1" applyProtection="1">
      <alignment horizontal="justify" vertical="top" wrapText="1"/>
      <protection locked="0"/>
    </xf>
    <xf numFmtId="0" fontId="15" fillId="0" borderId="17" xfId="0" applyFont="1" applyBorder="1" applyAlignment="1" applyProtection="1">
      <alignment horizontal="center" vertical="center" textRotation="90"/>
      <protection locked="0"/>
    </xf>
    <xf numFmtId="0" fontId="15" fillId="0" borderId="33" xfId="0" applyFont="1" applyBorder="1" applyAlignment="1" applyProtection="1">
      <alignment horizontal="justify" vertical="center" wrapText="1"/>
      <protection hidden="1"/>
    </xf>
    <xf numFmtId="164" fontId="15" fillId="0" borderId="17" xfId="1" applyNumberFormat="1" applyFont="1" applyBorder="1" applyAlignment="1">
      <alignment horizontal="center" vertical="center"/>
    </xf>
    <xf numFmtId="164" fontId="15" fillId="8" borderId="17" xfId="1" applyNumberFormat="1" applyFont="1" applyFill="1" applyBorder="1" applyAlignment="1">
      <alignment horizontal="center" vertical="center"/>
    </xf>
    <xf numFmtId="0" fontId="15" fillId="0" borderId="33" xfId="0" applyFont="1" applyBorder="1" applyAlignment="1" applyProtection="1">
      <alignment horizontal="justify" vertical="top" wrapText="1"/>
      <protection locked="0"/>
    </xf>
    <xf numFmtId="0" fontId="15" fillId="0" borderId="17" xfId="0" applyFont="1" applyBorder="1" applyAlignment="1" applyProtection="1">
      <alignment horizontal="justify" vertical="center" wrapText="1"/>
      <protection locked="0"/>
    </xf>
    <xf numFmtId="0" fontId="15" fillId="0" borderId="17" xfId="0" applyFont="1" applyBorder="1" applyAlignment="1" applyProtection="1">
      <alignment horizontal="justify" vertical="top"/>
      <protection locked="0"/>
    </xf>
    <xf numFmtId="164" fontId="15" fillId="8" borderId="17" xfId="1" applyNumberFormat="1" applyFont="1" applyFill="1" applyBorder="1" applyAlignment="1">
      <alignment horizontal="center" vertical="top"/>
    </xf>
    <xf numFmtId="0" fontId="14" fillId="0" borderId="17" xfId="0" applyFont="1" applyBorder="1" applyAlignment="1" applyProtection="1">
      <alignment horizontal="justify" vertical="top" wrapText="1"/>
      <protection locked="0"/>
    </xf>
    <xf numFmtId="0" fontId="14" fillId="0" borderId="17" xfId="0" applyFont="1" applyBorder="1" applyAlignment="1" applyProtection="1">
      <alignment horizontal="justify" vertical="top"/>
      <protection locked="0"/>
    </xf>
    <xf numFmtId="0" fontId="15" fillId="0" borderId="34" xfId="0" applyFont="1" applyBorder="1" applyAlignment="1" applyProtection="1">
      <alignment horizontal="center" vertical="center" textRotation="90" wrapText="1"/>
      <protection locked="0"/>
    </xf>
    <xf numFmtId="0" fontId="16" fillId="16" borderId="17" xfId="0" applyFont="1" applyFill="1" applyBorder="1" applyAlignment="1" applyProtection="1">
      <alignment horizontal="center" vertical="center" wrapText="1"/>
      <protection hidden="1"/>
    </xf>
    <xf numFmtId="0" fontId="15" fillId="0" borderId="22" xfId="0" applyFont="1" applyBorder="1" applyAlignment="1" applyProtection="1">
      <alignment horizontal="justify" vertical="center" wrapText="1"/>
      <protection locked="0"/>
    </xf>
    <xf numFmtId="0" fontId="12" fillId="0" borderId="0" xfId="5" applyFont="1" applyBorder="1" applyAlignment="1">
      <alignment vertical="center" wrapText="1"/>
    </xf>
    <xf numFmtId="17" fontId="17" fillId="0" borderId="0" xfId="0" applyNumberFormat="1" applyFont="1" applyBorder="1" applyAlignment="1">
      <alignment vertical="center"/>
    </xf>
    <xf numFmtId="0" fontId="39" fillId="0" borderId="0" xfId="0" applyFont="1" applyBorder="1" applyAlignment="1">
      <alignment vertical="center"/>
    </xf>
    <xf numFmtId="0" fontId="17" fillId="2" borderId="0" xfId="0" applyFont="1" applyFill="1" applyBorder="1" applyAlignment="1" applyProtection="1">
      <alignment horizontal="center" vertical="center" wrapText="1"/>
      <protection locked="0"/>
    </xf>
    <xf numFmtId="0" fontId="15" fillId="0" borderId="20" xfId="0" applyFont="1" applyBorder="1" applyAlignment="1" applyProtection="1">
      <alignment horizontal="justify" vertical="center" wrapText="1"/>
      <protection locked="0"/>
    </xf>
    <xf numFmtId="0" fontId="15" fillId="0" borderId="21" xfId="0" applyFont="1" applyBorder="1" applyAlignment="1" applyProtection="1">
      <alignment horizontal="justify" vertical="center" wrapText="1"/>
      <protection locked="0"/>
    </xf>
    <xf numFmtId="0" fontId="15" fillId="0" borderId="22" xfId="0" applyFont="1" applyBorder="1" applyAlignment="1" applyProtection="1">
      <alignment horizontal="justify" vertical="center" wrapText="1"/>
      <protection locked="0"/>
    </xf>
    <xf numFmtId="0" fontId="15" fillId="0" borderId="17" xfId="0" applyFont="1" applyBorder="1" applyAlignment="1" applyProtection="1">
      <alignment horizontal="justify" vertical="center" wrapText="1"/>
      <protection locked="0"/>
    </xf>
    <xf numFmtId="0" fontId="15" fillId="2" borderId="17" xfId="0" applyFont="1" applyFill="1" applyBorder="1" applyAlignment="1" applyProtection="1">
      <alignment horizontal="justify" vertical="center" wrapText="1"/>
      <protection locked="0"/>
    </xf>
    <xf numFmtId="0" fontId="15" fillId="0" borderId="17"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wrapText="1"/>
      <protection locked="0"/>
    </xf>
    <xf numFmtId="0" fontId="15" fillId="0" borderId="17" xfId="0" applyFont="1" applyBorder="1" applyAlignment="1" applyProtection="1">
      <alignment horizontal="center" vertical="center"/>
      <protection locked="0"/>
    </xf>
    <xf numFmtId="0" fontId="15" fillId="0" borderId="22" xfId="0" applyFont="1" applyBorder="1" applyAlignment="1" applyProtection="1">
      <alignment horizontal="center" vertical="center"/>
      <protection locked="0"/>
    </xf>
    <xf numFmtId="14" fontId="15" fillId="0" borderId="17" xfId="0" applyNumberFormat="1" applyFont="1" applyBorder="1" applyAlignment="1" applyProtection="1">
      <alignment horizontal="center" vertical="center"/>
      <protection locked="0"/>
    </xf>
    <xf numFmtId="14" fontId="15" fillId="0" borderId="22" xfId="0" applyNumberFormat="1" applyFont="1" applyBorder="1" applyAlignment="1" applyProtection="1">
      <alignment horizontal="center" vertical="center"/>
      <protection locked="0"/>
    </xf>
    <xf numFmtId="0" fontId="15" fillId="2" borderId="20" xfId="0" applyFont="1" applyFill="1" applyBorder="1" applyAlignment="1">
      <alignment horizontal="center" vertical="center"/>
    </xf>
    <xf numFmtId="0" fontId="15" fillId="2" borderId="21" xfId="0" applyFont="1" applyFill="1" applyBorder="1" applyAlignment="1">
      <alignment horizontal="center" vertical="center"/>
    </xf>
    <xf numFmtId="0" fontId="15" fillId="2" borderId="22" xfId="0" applyFont="1" applyFill="1" applyBorder="1" applyAlignment="1">
      <alignment horizontal="center" vertical="center"/>
    </xf>
    <xf numFmtId="0" fontId="15" fillId="2" borderId="17" xfId="0" applyFont="1" applyFill="1" applyBorder="1" applyAlignment="1">
      <alignment horizontal="center" vertical="center"/>
    </xf>
    <xf numFmtId="0" fontId="17" fillId="2" borderId="0" xfId="0" applyFont="1" applyFill="1" applyBorder="1" applyAlignment="1">
      <alignment horizontal="left" vertical="center"/>
    </xf>
    <xf numFmtId="14" fontId="15" fillId="0" borderId="22" xfId="0" applyNumberFormat="1" applyFont="1" applyBorder="1" applyAlignment="1" applyProtection="1">
      <alignment horizontal="center" vertical="center" wrapText="1"/>
      <protection locked="0"/>
    </xf>
    <xf numFmtId="14" fontId="15" fillId="0" borderId="17" xfId="0" applyNumberFormat="1" applyFont="1" applyBorder="1" applyAlignment="1" applyProtection="1">
      <alignment horizontal="center" vertical="center" wrapText="1"/>
      <protection locked="0"/>
    </xf>
    <xf numFmtId="49" fontId="15" fillId="0" borderId="22" xfId="0" applyNumberFormat="1" applyFont="1" applyBorder="1" applyAlignment="1" applyProtection="1">
      <alignment horizontal="justify" vertical="center" wrapText="1"/>
      <protection locked="0"/>
    </xf>
    <xf numFmtId="49" fontId="15" fillId="0" borderId="17" xfId="0" applyNumberFormat="1" applyFont="1" applyBorder="1" applyAlignment="1" applyProtection="1">
      <alignment horizontal="justify" vertical="center" wrapText="1"/>
      <protection locked="0"/>
    </xf>
    <xf numFmtId="0" fontId="23" fillId="14" borderId="24" xfId="0" applyFont="1" applyFill="1" applyBorder="1" applyAlignment="1">
      <alignment horizontal="center" vertical="center" textRotation="90" wrapText="1"/>
    </xf>
    <xf numFmtId="0" fontId="15" fillId="0" borderId="20" xfId="0" applyFont="1" applyBorder="1" applyAlignment="1" applyProtection="1">
      <alignment horizontal="center" vertical="center"/>
      <protection locked="0"/>
    </xf>
    <xf numFmtId="0" fontId="15" fillId="0" borderId="21" xfId="0" applyFont="1" applyBorder="1" applyAlignment="1" applyProtection="1">
      <alignment horizontal="center" vertical="center"/>
      <protection locked="0"/>
    </xf>
    <xf numFmtId="0" fontId="23" fillId="14" borderId="24" xfId="0" applyFont="1" applyFill="1" applyBorder="1" applyAlignment="1">
      <alignment horizontal="center" vertical="center" wrapText="1"/>
    </xf>
    <xf numFmtId="0" fontId="23" fillId="14" borderId="24" xfId="0" applyFont="1" applyFill="1" applyBorder="1" applyAlignment="1">
      <alignment horizontal="center" vertical="center"/>
    </xf>
    <xf numFmtId="9" fontId="15" fillId="0" borderId="17" xfId="0" applyNumberFormat="1" applyFont="1" applyBorder="1" applyAlignment="1" applyProtection="1">
      <alignment horizontal="center" vertical="center" wrapText="1"/>
      <protection locked="0"/>
    </xf>
    <xf numFmtId="9" fontId="15" fillId="0" borderId="17" xfId="0" applyNumberFormat="1" applyFont="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wrapText="1"/>
      <protection hidden="1"/>
    </xf>
    <xf numFmtId="9" fontId="15" fillId="16" borderId="17" xfId="0" applyNumberFormat="1" applyFont="1" applyFill="1" applyBorder="1" applyAlignment="1" applyProtection="1">
      <alignment horizontal="center" vertical="center" wrapText="1"/>
      <protection hidden="1"/>
    </xf>
    <xf numFmtId="0" fontId="16" fillId="16" borderId="17" xfId="0" applyFont="1" applyFill="1" applyBorder="1" applyAlignment="1" applyProtection="1">
      <alignment horizontal="center" vertical="center"/>
      <protection hidden="1"/>
    </xf>
    <xf numFmtId="0" fontId="23" fillId="14" borderId="24" xfId="0" applyFont="1" applyFill="1" applyBorder="1" applyAlignment="1">
      <alignment horizontal="center" vertical="center" textRotation="90"/>
    </xf>
    <xf numFmtId="0" fontId="16" fillId="16" borderId="22" xfId="0" applyFont="1" applyFill="1" applyBorder="1" applyAlignment="1" applyProtection="1">
      <alignment horizontal="center" vertical="center"/>
      <protection hidden="1"/>
    </xf>
    <xf numFmtId="9" fontId="15" fillId="16" borderId="22" xfId="0" applyNumberFormat="1" applyFont="1" applyFill="1" applyBorder="1" applyAlignment="1" applyProtection="1">
      <alignment horizontal="center" vertical="center" wrapText="1"/>
      <protection hidden="1"/>
    </xf>
    <xf numFmtId="9" fontId="15" fillId="0" borderId="22" xfId="0" applyNumberFormat="1" applyFont="1" applyBorder="1" applyAlignment="1" applyProtection="1">
      <alignment horizontal="center" vertical="center" wrapText="1"/>
      <protection locked="0"/>
    </xf>
    <xf numFmtId="9" fontId="15" fillId="0" borderId="22" xfId="0" applyNumberFormat="1" applyFont="1" applyBorder="1" applyAlignment="1" applyProtection="1">
      <alignment horizontal="center" vertical="center" wrapText="1"/>
      <protection hidden="1"/>
    </xf>
    <xf numFmtId="0" fontId="16" fillId="16" borderId="22" xfId="0" applyFont="1" applyFill="1" applyBorder="1" applyAlignment="1" applyProtection="1">
      <alignment horizontal="center" vertical="center" wrapText="1"/>
      <protection hidden="1"/>
    </xf>
    <xf numFmtId="0" fontId="15" fillId="0" borderId="17" xfId="0" applyFont="1" applyBorder="1" applyAlignment="1" applyProtection="1">
      <alignment horizontal="center" vertical="center"/>
    </xf>
    <xf numFmtId="0" fontId="15" fillId="0" borderId="17" xfId="0" applyFont="1" applyFill="1" applyBorder="1" applyAlignment="1" applyProtection="1">
      <alignment horizontal="justify" vertical="center" wrapText="1"/>
      <protection locked="0"/>
    </xf>
    <xf numFmtId="0" fontId="14" fillId="0" borderId="17" xfId="0" applyFont="1" applyFill="1" applyBorder="1" applyAlignment="1" applyProtection="1">
      <alignment horizontal="justify" vertical="center" wrapText="1"/>
      <protection locked="0"/>
    </xf>
    <xf numFmtId="0" fontId="14" fillId="0" borderId="17" xfId="0" applyFont="1" applyBorder="1" applyAlignment="1" applyProtection="1">
      <alignment horizontal="center" vertical="center" wrapText="1"/>
      <protection locked="0"/>
    </xf>
    <xf numFmtId="0" fontId="14" fillId="0" borderId="22" xfId="0" applyFont="1" applyBorder="1" applyAlignment="1" applyProtection="1">
      <alignment horizontal="center" vertical="center" wrapText="1"/>
      <protection locked="0"/>
    </xf>
    <xf numFmtId="0" fontId="15" fillId="0" borderId="22" xfId="0" applyFont="1" applyBorder="1" applyAlignment="1" applyProtection="1">
      <alignment horizontal="center" vertical="center" textRotation="90" wrapText="1"/>
    </xf>
    <xf numFmtId="0" fontId="15" fillId="0" borderId="17" xfId="0" applyFont="1" applyBorder="1" applyAlignment="1" applyProtection="1">
      <alignment horizontal="center" vertical="center" textRotation="90" wrapText="1"/>
    </xf>
    <xf numFmtId="0" fontId="15" fillId="0" borderId="22" xfId="0" applyFont="1" applyFill="1" applyBorder="1" applyAlignment="1" applyProtection="1">
      <alignment horizontal="center" vertical="center" textRotation="90" wrapText="1"/>
    </xf>
    <xf numFmtId="0" fontId="15" fillId="0" borderId="17" xfId="0" applyFont="1" applyFill="1" applyBorder="1" applyAlignment="1" applyProtection="1">
      <alignment horizontal="center" vertical="center" textRotation="90" wrapText="1"/>
    </xf>
    <xf numFmtId="0" fontId="14" fillId="0" borderId="22" xfId="0" applyFont="1" applyFill="1" applyBorder="1" applyAlignment="1" applyProtection="1">
      <alignment horizontal="justify" vertical="center" wrapText="1"/>
      <protection locked="0"/>
    </xf>
    <xf numFmtId="0" fontId="15" fillId="0" borderId="22" xfId="0" applyFont="1" applyFill="1" applyBorder="1" applyAlignment="1" applyProtection="1">
      <alignment horizontal="justify" vertical="center" wrapText="1"/>
      <protection locked="0"/>
    </xf>
    <xf numFmtId="0" fontId="15" fillId="0" borderId="22" xfId="0" applyFont="1" applyBorder="1" applyAlignment="1" applyProtection="1">
      <alignment horizontal="center" vertical="center"/>
    </xf>
    <xf numFmtId="0" fontId="15" fillId="0" borderId="20" xfId="0" applyFont="1" applyBorder="1" applyAlignment="1" applyProtection="1">
      <alignment horizontal="center" vertical="center" wrapText="1"/>
      <protection locked="0"/>
    </xf>
    <xf numFmtId="0" fontId="15" fillId="0" borderId="21" xfId="0" applyFont="1" applyBorder="1" applyAlignment="1" applyProtection="1">
      <alignment horizontal="center" vertical="center" wrapText="1"/>
      <protection locked="0"/>
    </xf>
    <xf numFmtId="0" fontId="14" fillId="0" borderId="20" xfId="0" applyFont="1" applyBorder="1" applyAlignment="1" applyProtection="1">
      <alignment horizontal="center" vertical="center" wrapText="1"/>
      <protection locked="0"/>
    </xf>
    <xf numFmtId="0" fontId="14" fillId="0" borderId="21" xfId="0" applyFont="1" applyBorder="1" applyAlignment="1" applyProtection="1">
      <alignment horizontal="center" vertical="center" wrapText="1"/>
      <protection locked="0"/>
    </xf>
    <xf numFmtId="0" fontId="16" fillId="16" borderId="20" xfId="0" applyFont="1" applyFill="1" applyBorder="1" applyAlignment="1" applyProtection="1">
      <alignment horizontal="center" vertical="center" wrapText="1"/>
      <protection hidden="1"/>
    </xf>
    <xf numFmtId="0" fontId="16" fillId="16" borderId="21" xfId="0" applyFont="1" applyFill="1" applyBorder="1" applyAlignment="1" applyProtection="1">
      <alignment horizontal="center" vertical="center" wrapText="1"/>
      <protection hidden="1"/>
    </xf>
    <xf numFmtId="0" fontId="17" fillId="0" borderId="0" xfId="0" applyFont="1" applyBorder="1" applyAlignment="1">
      <alignment horizontal="center" vertical="center"/>
    </xf>
    <xf numFmtId="0" fontId="17" fillId="0" borderId="0" xfId="0" applyFont="1" applyBorder="1" applyAlignment="1">
      <alignment horizontal="left" vertical="center" wrapText="1"/>
    </xf>
    <xf numFmtId="0" fontId="52" fillId="0" borderId="0" xfId="0" applyFont="1" applyBorder="1" applyAlignment="1">
      <alignment horizontal="left" vertical="center"/>
    </xf>
    <xf numFmtId="0" fontId="53" fillId="0" borderId="0" xfId="0" applyFont="1" applyBorder="1" applyAlignment="1">
      <alignment horizontal="left" vertical="center"/>
    </xf>
    <xf numFmtId="0" fontId="23" fillId="14" borderId="29" xfId="0" applyFont="1" applyFill="1" applyBorder="1" applyAlignment="1">
      <alignment horizontal="center" vertical="center"/>
    </xf>
    <xf numFmtId="0" fontId="23" fillId="14" borderId="30" xfId="0" applyFont="1" applyFill="1" applyBorder="1" applyAlignment="1">
      <alignment horizontal="center" vertical="center"/>
    </xf>
    <xf numFmtId="0" fontId="23" fillId="14" borderId="31" xfId="0" applyFont="1" applyFill="1" applyBorder="1" applyAlignment="1">
      <alignment horizontal="center" vertical="center"/>
    </xf>
    <xf numFmtId="9" fontId="15" fillId="0" borderId="17" xfId="0" applyNumberFormat="1" applyFont="1" applyBorder="1" applyAlignment="1" applyProtection="1">
      <alignment horizontal="center" vertical="top" wrapText="1"/>
      <protection hidden="1"/>
    </xf>
    <xf numFmtId="9" fontId="15" fillId="0" borderId="17" xfId="0" applyNumberFormat="1" applyFont="1" applyBorder="1" applyAlignment="1" applyProtection="1">
      <alignment horizontal="center" vertical="top" wrapText="1"/>
      <protection locked="0"/>
    </xf>
    <xf numFmtId="0" fontId="15" fillId="0" borderId="17" xfId="0" applyFont="1" applyBorder="1" applyAlignment="1">
      <alignment horizontal="center" vertical="center" textRotation="90" wrapText="1"/>
    </xf>
    <xf numFmtId="0" fontId="14" fillId="0" borderId="17" xfId="0" applyFont="1" applyBorder="1" applyAlignment="1" applyProtection="1">
      <alignment horizontal="justify" vertical="center" wrapText="1"/>
      <protection locked="0"/>
    </xf>
    <xf numFmtId="0" fontId="15" fillId="0" borderId="22" xfId="0" applyFont="1" applyBorder="1" applyAlignment="1">
      <alignment horizontal="center" vertical="center" textRotation="90" wrapText="1"/>
    </xf>
    <xf numFmtId="0" fontId="15" fillId="0" borderId="22" xfId="0" applyFont="1" applyFill="1" applyBorder="1" applyAlignment="1">
      <alignment horizontal="center" vertical="center" textRotation="90" wrapText="1"/>
    </xf>
    <xf numFmtId="0" fontId="15" fillId="0" borderId="17" xfId="0" applyFont="1" applyFill="1" applyBorder="1" applyAlignment="1">
      <alignment horizontal="center" vertical="center" textRotation="90" wrapText="1"/>
    </xf>
    <xf numFmtId="0" fontId="14" fillId="0" borderId="22" xfId="0" applyFont="1" applyBorder="1" applyAlignment="1" applyProtection="1">
      <alignment horizontal="justify" vertical="center" wrapText="1"/>
      <protection locked="0"/>
    </xf>
    <xf numFmtId="0" fontId="15" fillId="0" borderId="35" xfId="0" applyFont="1" applyBorder="1" applyAlignment="1" applyProtection="1">
      <alignment horizontal="center" vertical="center"/>
      <protection locked="0"/>
    </xf>
    <xf numFmtId="0" fontId="15" fillId="2" borderId="21" xfId="0" applyFont="1" applyFill="1" applyBorder="1" applyAlignment="1">
      <alignment horizontal="justify" vertical="center" wrapText="1"/>
    </xf>
    <xf numFmtId="0" fontId="15" fillId="2" borderId="21" xfId="0" applyFont="1" applyFill="1" applyBorder="1" applyAlignment="1">
      <alignment horizontal="justify" vertical="center"/>
    </xf>
    <xf numFmtId="0" fontId="15" fillId="2" borderId="22" xfId="0" applyFont="1" applyFill="1" applyBorder="1" applyAlignment="1">
      <alignment horizontal="justify" vertical="center"/>
    </xf>
    <xf numFmtId="0" fontId="15" fillId="16" borderId="22" xfId="0" applyFont="1" applyFill="1" applyBorder="1" applyAlignment="1" applyProtection="1">
      <alignment horizontal="justify" vertical="center" wrapText="1"/>
      <protection locked="0"/>
    </xf>
    <xf numFmtId="0" fontId="15" fillId="16" borderId="17" xfId="0" applyFont="1" applyFill="1" applyBorder="1" applyAlignment="1" applyProtection="1">
      <alignment horizontal="justify" vertical="center" wrapText="1"/>
      <protection locked="0"/>
    </xf>
    <xf numFmtId="49" fontId="15" fillId="2" borderId="17" xfId="0" applyNumberFormat="1" applyFont="1" applyFill="1" applyBorder="1" applyAlignment="1">
      <alignment horizontal="center" vertical="center" wrapText="1"/>
    </xf>
    <xf numFmtId="49" fontId="15" fillId="2" borderId="17" xfId="0" applyNumberFormat="1" applyFont="1" applyFill="1" applyBorder="1" applyAlignment="1">
      <alignment horizontal="center" vertical="center"/>
    </xf>
    <xf numFmtId="49" fontId="15" fillId="2" borderId="17" xfId="0" applyNumberFormat="1" applyFont="1" applyFill="1" applyBorder="1" applyAlignment="1">
      <alignment horizontal="justify" vertical="center" wrapText="1"/>
    </xf>
    <xf numFmtId="49" fontId="15" fillId="2" borderId="17" xfId="0" applyNumberFormat="1" applyFont="1" applyFill="1" applyBorder="1" applyAlignment="1">
      <alignment horizontal="justify" vertical="center"/>
    </xf>
    <xf numFmtId="49" fontId="15" fillId="0" borderId="20" xfId="0" applyNumberFormat="1" applyFont="1" applyBorder="1" applyAlignment="1" applyProtection="1">
      <alignment horizontal="justify" vertical="center" wrapText="1"/>
      <protection locked="0"/>
    </xf>
    <xf numFmtId="14" fontId="15" fillId="0" borderId="20" xfId="0" applyNumberFormat="1" applyFont="1" applyBorder="1" applyAlignment="1" applyProtection="1">
      <alignment horizontal="center" vertical="center"/>
      <protection locked="0"/>
    </xf>
    <xf numFmtId="14" fontId="15" fillId="0" borderId="20" xfId="0" applyNumberFormat="1" applyFont="1" applyBorder="1" applyAlignment="1" applyProtection="1">
      <alignment horizontal="center" vertical="center" wrapText="1"/>
      <protection locked="0"/>
    </xf>
    <xf numFmtId="49" fontId="15" fillId="2" borderId="21" xfId="0" applyNumberFormat="1" applyFont="1" applyFill="1" applyBorder="1" applyAlignment="1">
      <alignment horizontal="justify" vertical="center" wrapText="1"/>
    </xf>
    <xf numFmtId="49" fontId="15" fillId="2" borderId="21" xfId="0" applyNumberFormat="1" applyFont="1" applyFill="1" applyBorder="1" applyAlignment="1">
      <alignment horizontal="justify" vertical="center"/>
    </xf>
    <xf numFmtId="0" fontId="15" fillId="0" borderId="20" xfId="0" applyFont="1" applyBorder="1" applyAlignment="1">
      <alignment horizontal="center" vertical="center" textRotation="90" wrapText="1"/>
    </xf>
    <xf numFmtId="0" fontId="15" fillId="0" borderId="21" xfId="0" applyFont="1" applyBorder="1" applyAlignment="1">
      <alignment horizontal="center" vertical="center" textRotation="90" wrapText="1"/>
    </xf>
    <xf numFmtId="49" fontId="15" fillId="0" borderId="21" xfId="0" applyNumberFormat="1" applyFont="1" applyBorder="1" applyAlignment="1" applyProtection="1">
      <alignment horizontal="justify" vertical="center" wrapText="1"/>
      <protection locked="0"/>
    </xf>
    <xf numFmtId="0" fontId="14" fillId="0" borderId="20" xfId="0" applyFont="1" applyBorder="1" applyAlignment="1" applyProtection="1">
      <alignment horizontal="justify" vertical="center" wrapText="1"/>
      <protection locked="0"/>
    </xf>
    <xf numFmtId="0" fontId="14" fillId="0" borderId="21" xfId="0" applyFont="1" applyBorder="1" applyAlignment="1" applyProtection="1">
      <alignment horizontal="justify" vertical="center" wrapText="1"/>
      <protection locked="0"/>
    </xf>
    <xf numFmtId="0" fontId="15" fillId="2" borderId="21" xfId="0" applyFont="1" applyFill="1" applyBorder="1" applyAlignment="1">
      <alignment horizontal="center" vertical="center" wrapText="1"/>
    </xf>
    <xf numFmtId="0" fontId="15" fillId="2" borderId="22" xfId="0" applyFont="1" applyFill="1" applyBorder="1" applyAlignment="1">
      <alignment horizontal="center" vertical="center" wrapText="1"/>
    </xf>
    <xf numFmtId="49" fontId="15" fillId="0" borderId="17" xfId="0" applyNumberFormat="1" applyFont="1" applyBorder="1" applyAlignment="1" applyProtection="1">
      <alignment horizontal="center" vertical="center" wrapText="1"/>
      <protection locked="0"/>
    </xf>
    <xf numFmtId="0" fontId="15" fillId="0" borderId="37" xfId="0" applyFont="1" applyBorder="1" applyAlignment="1" applyProtection="1">
      <alignment horizontal="center" vertical="center"/>
      <protection locked="0"/>
    </xf>
    <xf numFmtId="0" fontId="15" fillId="0" borderId="38" xfId="0" applyFont="1" applyBorder="1" applyAlignment="1" applyProtection="1">
      <alignment horizontal="center" vertical="center"/>
      <protection locked="0"/>
    </xf>
    <xf numFmtId="0" fontId="15" fillId="0" borderId="39" xfId="0" applyFont="1" applyBorder="1" applyAlignment="1" applyProtection="1">
      <alignment horizontal="center" vertical="center"/>
      <protection locked="0"/>
    </xf>
    <xf numFmtId="0" fontId="15" fillId="0" borderId="37" xfId="0" applyFont="1" applyBorder="1" applyAlignment="1" applyProtection="1">
      <alignment horizontal="justify" vertical="center" wrapText="1"/>
      <protection locked="0"/>
    </xf>
    <xf numFmtId="0" fontId="15" fillId="0" borderId="38" xfId="0" applyFont="1" applyBorder="1" applyAlignment="1" applyProtection="1">
      <alignment horizontal="justify" vertical="center" wrapText="1"/>
      <protection locked="0"/>
    </xf>
    <xf numFmtId="0" fontId="15" fillId="0" borderId="39" xfId="0" applyFont="1" applyBorder="1" applyAlignment="1" applyProtection="1">
      <alignment horizontal="justify" vertical="center" wrapText="1"/>
      <protection locked="0"/>
    </xf>
    <xf numFmtId="0" fontId="15" fillId="0" borderId="36" xfId="0" applyFont="1" applyBorder="1" applyAlignment="1">
      <alignment horizontal="center" vertical="center" textRotation="90" wrapText="1"/>
    </xf>
    <xf numFmtId="0" fontId="15" fillId="0" borderId="33" xfId="0" applyFont="1" applyBorder="1" applyAlignment="1" applyProtection="1">
      <alignment horizontal="center" vertical="center" wrapText="1"/>
      <protection locked="0"/>
    </xf>
    <xf numFmtId="0" fontId="15" fillId="0" borderId="37" xfId="0" applyFont="1" applyBorder="1" applyAlignment="1" applyProtection="1">
      <alignment horizontal="center" vertical="center" wrapText="1"/>
      <protection locked="0"/>
    </xf>
    <xf numFmtId="0" fontId="15" fillId="0" borderId="38" xfId="0" applyFont="1" applyBorder="1" applyAlignment="1" applyProtection="1">
      <alignment horizontal="center" vertical="center" wrapText="1"/>
      <protection locked="0"/>
    </xf>
    <xf numFmtId="0" fontId="15" fillId="0" borderId="39" xfId="0" applyFont="1" applyBorder="1" applyAlignment="1" applyProtection="1">
      <alignment horizontal="center" vertical="center" wrapText="1"/>
      <protection locked="0"/>
    </xf>
    <xf numFmtId="49" fontId="14" fillId="0" borderId="33" xfId="0" applyNumberFormat="1" applyFont="1" applyFill="1" applyBorder="1" applyAlignment="1" applyProtection="1">
      <alignment horizontal="justify" vertical="center" wrapText="1"/>
      <protection locked="0"/>
    </xf>
    <xf numFmtId="0" fontId="14" fillId="0" borderId="37" xfId="0" applyFont="1" applyBorder="1" applyAlignment="1" applyProtection="1">
      <alignment horizontal="center" vertical="center" wrapText="1"/>
      <protection locked="0"/>
    </xf>
    <xf numFmtId="0" fontId="14" fillId="0" borderId="38" xfId="0" applyFont="1" applyBorder="1" applyAlignment="1" applyProtection="1">
      <alignment horizontal="center" vertical="center" wrapText="1"/>
      <protection locked="0"/>
    </xf>
    <xf numFmtId="0" fontId="14" fillId="0" borderId="39" xfId="0" applyFont="1" applyBorder="1" applyAlignment="1" applyProtection="1">
      <alignment horizontal="center" vertical="center" wrapText="1"/>
      <protection locked="0"/>
    </xf>
    <xf numFmtId="0" fontId="15" fillId="0" borderId="33" xfId="0" applyFont="1" applyBorder="1" applyAlignment="1" applyProtection="1">
      <alignment horizontal="center" vertical="center"/>
      <protection locked="0"/>
    </xf>
    <xf numFmtId="9" fontId="15" fillId="0" borderId="33" xfId="0" applyNumberFormat="1" applyFont="1" applyBorder="1" applyAlignment="1" applyProtection="1">
      <alignment horizontal="center" vertical="center" wrapText="1"/>
      <protection locked="0"/>
    </xf>
    <xf numFmtId="14" fontId="15" fillId="0" borderId="37" xfId="0" applyNumberFormat="1" applyFont="1" applyBorder="1" applyAlignment="1" applyProtection="1">
      <alignment horizontal="center" vertical="center"/>
      <protection locked="0"/>
    </xf>
    <xf numFmtId="14" fontId="15" fillId="0" borderId="37" xfId="0" applyNumberFormat="1" applyFont="1" applyBorder="1" applyAlignment="1" applyProtection="1">
      <alignment horizontal="center" vertical="center" wrapText="1"/>
      <protection locked="0"/>
    </xf>
    <xf numFmtId="49" fontId="14" fillId="0" borderId="17" xfId="0" applyNumberFormat="1" applyFont="1" applyBorder="1" applyAlignment="1" applyProtection="1">
      <alignment horizontal="justify" vertical="center" wrapText="1"/>
      <protection locked="0"/>
    </xf>
    <xf numFmtId="49" fontId="15" fillId="0" borderId="18" xfId="0" applyNumberFormat="1" applyFont="1" applyBorder="1" applyAlignment="1" applyProtection="1">
      <alignment horizontal="justify" vertical="center" wrapText="1"/>
      <protection locked="0"/>
    </xf>
    <xf numFmtId="0" fontId="15" fillId="0" borderId="17" xfId="0" applyFont="1" applyBorder="1" applyAlignment="1" applyProtection="1">
      <alignment horizontal="center" vertical="center" textRotation="90" wrapText="1"/>
      <protection locked="0"/>
    </xf>
    <xf numFmtId="0" fontId="15" fillId="0" borderId="22" xfId="0" applyFont="1" applyBorder="1" applyAlignment="1" applyProtection="1">
      <alignment horizontal="center" vertical="center" textRotation="90" wrapText="1"/>
      <protection locked="0"/>
    </xf>
    <xf numFmtId="0" fontId="27" fillId="0" borderId="0" xfId="0" applyFont="1" applyAlignment="1">
      <alignment horizontal="center" vertical="center" wrapText="1"/>
    </xf>
    <xf numFmtId="0" fontId="30" fillId="4" borderId="3" xfId="0" applyFont="1" applyFill="1" applyBorder="1" applyAlignment="1" applyProtection="1">
      <alignment horizontal="center" wrapText="1" readingOrder="1"/>
      <protection hidden="1"/>
    </xf>
    <xf numFmtId="0" fontId="30" fillId="4" borderId="0" xfId="0" applyFont="1" applyFill="1" applyBorder="1" applyAlignment="1" applyProtection="1">
      <alignment horizontal="center" wrapText="1" readingOrder="1"/>
      <protection hidden="1"/>
    </xf>
    <xf numFmtId="0" fontId="30" fillId="4" borderId="4" xfId="0" applyFont="1" applyFill="1" applyBorder="1" applyAlignment="1" applyProtection="1">
      <alignment horizontal="center" wrapText="1" readingOrder="1"/>
      <protection hidden="1"/>
    </xf>
    <xf numFmtId="0" fontId="30" fillId="4" borderId="5" xfId="0" applyFont="1" applyFill="1" applyBorder="1" applyAlignment="1" applyProtection="1">
      <alignment horizontal="center" wrapText="1" readingOrder="1"/>
      <protection hidden="1"/>
    </xf>
    <xf numFmtId="0" fontId="30" fillId="4" borderId="7" xfId="0" applyFont="1" applyFill="1" applyBorder="1" applyAlignment="1" applyProtection="1">
      <alignment horizontal="center" wrapText="1" readingOrder="1"/>
      <protection hidden="1"/>
    </xf>
    <xf numFmtId="0" fontId="30" fillId="4" borderId="6" xfId="0" applyFont="1" applyFill="1" applyBorder="1" applyAlignment="1" applyProtection="1">
      <alignment horizontal="center" wrapText="1" readingOrder="1"/>
      <protection hidden="1"/>
    </xf>
    <xf numFmtId="0" fontId="30" fillId="4" borderId="1" xfId="0" applyFont="1" applyFill="1" applyBorder="1" applyAlignment="1" applyProtection="1">
      <alignment horizontal="center" wrapText="1" readingOrder="1"/>
      <protection hidden="1"/>
    </xf>
    <xf numFmtId="0" fontId="30" fillId="4" borderId="8" xfId="0" applyFont="1" applyFill="1" applyBorder="1" applyAlignment="1" applyProtection="1">
      <alignment horizontal="center" wrapText="1" readingOrder="1"/>
      <protection hidden="1"/>
    </xf>
    <xf numFmtId="0" fontId="30" fillId="4" borderId="2" xfId="0" applyFont="1" applyFill="1" applyBorder="1" applyAlignment="1" applyProtection="1">
      <alignment horizontal="center" wrapText="1" readingOrder="1"/>
      <protection hidden="1"/>
    </xf>
    <xf numFmtId="0" fontId="30" fillId="12" borderId="3" xfId="0" applyFont="1" applyFill="1" applyBorder="1" applyAlignment="1" applyProtection="1">
      <alignment horizontal="center" wrapText="1" readingOrder="1"/>
      <protection hidden="1"/>
    </xf>
    <xf numFmtId="0" fontId="30" fillId="12" borderId="0" xfId="0" applyFont="1" applyFill="1" applyBorder="1" applyAlignment="1" applyProtection="1">
      <alignment horizontal="center" wrapText="1" readingOrder="1"/>
      <protection hidden="1"/>
    </xf>
    <xf numFmtId="0" fontId="30" fillId="12" borderId="4" xfId="0" applyFont="1" applyFill="1" applyBorder="1" applyAlignment="1" applyProtection="1">
      <alignment horizontal="center" wrapText="1" readingOrder="1"/>
      <protection hidden="1"/>
    </xf>
    <xf numFmtId="0" fontId="30" fillId="12" borderId="5" xfId="0" applyFont="1" applyFill="1" applyBorder="1" applyAlignment="1" applyProtection="1">
      <alignment horizontal="center" wrapText="1" readingOrder="1"/>
      <protection hidden="1"/>
    </xf>
    <xf numFmtId="0" fontId="30" fillId="12" borderId="7" xfId="0" applyFont="1" applyFill="1" applyBorder="1" applyAlignment="1" applyProtection="1">
      <alignment horizontal="center" wrapText="1" readingOrder="1"/>
      <protection hidden="1"/>
    </xf>
    <xf numFmtId="0" fontId="30" fillId="12" borderId="6" xfId="0" applyFont="1" applyFill="1" applyBorder="1" applyAlignment="1" applyProtection="1">
      <alignment horizontal="center" wrapText="1" readingOrder="1"/>
      <protection hidden="1"/>
    </xf>
    <xf numFmtId="0" fontId="30" fillId="12" borderId="1" xfId="0" applyFont="1" applyFill="1" applyBorder="1" applyAlignment="1" applyProtection="1">
      <alignment horizontal="center" wrapText="1" readingOrder="1"/>
      <protection hidden="1"/>
    </xf>
    <xf numFmtId="0" fontId="30" fillId="12" borderId="8" xfId="0" applyFont="1" applyFill="1" applyBorder="1" applyAlignment="1" applyProtection="1">
      <alignment horizontal="center" wrapText="1" readingOrder="1"/>
      <protection hidden="1"/>
    </xf>
    <xf numFmtId="0" fontId="30" fillId="12" borderId="2" xfId="0" applyFont="1" applyFill="1" applyBorder="1" applyAlignment="1" applyProtection="1">
      <alignment horizontal="center" wrapText="1" readingOrder="1"/>
      <protection hidden="1"/>
    </xf>
    <xf numFmtId="0" fontId="30" fillId="11" borderId="3" xfId="0" applyFont="1" applyFill="1" applyBorder="1" applyAlignment="1" applyProtection="1">
      <alignment horizontal="center" wrapText="1" readingOrder="1"/>
      <protection hidden="1"/>
    </xf>
    <xf numFmtId="0" fontId="30" fillId="11" borderId="0" xfId="0" applyFont="1" applyFill="1" applyBorder="1" applyAlignment="1" applyProtection="1">
      <alignment horizontal="center" wrapText="1" readingOrder="1"/>
      <protection hidden="1"/>
    </xf>
    <xf numFmtId="0" fontId="30" fillId="11" borderId="4" xfId="0" applyFont="1" applyFill="1" applyBorder="1" applyAlignment="1" applyProtection="1">
      <alignment horizontal="center" wrapText="1" readingOrder="1"/>
      <protection hidden="1"/>
    </xf>
    <xf numFmtId="0" fontId="30" fillId="11" borderId="5" xfId="0" applyFont="1" applyFill="1" applyBorder="1" applyAlignment="1" applyProtection="1">
      <alignment horizontal="center" wrapText="1" readingOrder="1"/>
      <protection hidden="1"/>
    </xf>
    <xf numFmtId="0" fontId="30" fillId="11" borderId="7" xfId="0" applyFont="1" applyFill="1" applyBorder="1" applyAlignment="1" applyProtection="1">
      <alignment horizontal="center" wrapText="1" readingOrder="1"/>
      <protection hidden="1"/>
    </xf>
    <xf numFmtId="0" fontId="30" fillId="11" borderId="6" xfId="0" applyFont="1" applyFill="1" applyBorder="1" applyAlignment="1" applyProtection="1">
      <alignment horizontal="center" wrapText="1" readingOrder="1"/>
      <protection hidden="1"/>
    </xf>
    <xf numFmtId="0" fontId="30" fillId="11" borderId="1" xfId="0" applyFont="1" applyFill="1" applyBorder="1" applyAlignment="1" applyProtection="1">
      <alignment horizontal="center" wrapText="1" readingOrder="1"/>
      <protection hidden="1"/>
    </xf>
    <xf numFmtId="0" fontId="30" fillId="11" borderId="8" xfId="0" applyFont="1" applyFill="1" applyBorder="1" applyAlignment="1" applyProtection="1">
      <alignment horizontal="center" wrapText="1" readingOrder="1"/>
      <protection hidden="1"/>
    </xf>
    <xf numFmtId="0" fontId="30" fillId="11" borderId="2" xfId="0" applyFont="1" applyFill="1" applyBorder="1" applyAlignment="1" applyProtection="1">
      <alignment horizontal="center" wrapText="1" readingOrder="1"/>
      <protection hidden="1"/>
    </xf>
    <xf numFmtId="0" fontId="30" fillId="10" borderId="3" xfId="0" applyFont="1" applyFill="1" applyBorder="1" applyAlignment="1" applyProtection="1">
      <alignment horizontal="center" vertical="center" wrapText="1" readingOrder="1"/>
      <protection hidden="1"/>
    </xf>
    <xf numFmtId="0" fontId="30" fillId="10" borderId="0" xfId="0" applyFont="1" applyFill="1" applyBorder="1" applyAlignment="1" applyProtection="1">
      <alignment horizontal="center" vertical="center" wrapText="1" readingOrder="1"/>
      <protection hidden="1"/>
    </xf>
    <xf numFmtId="0" fontId="30" fillId="10" borderId="0" xfId="0" applyFont="1" applyFill="1" applyAlignment="1" applyProtection="1">
      <alignment horizontal="center" vertical="center" wrapText="1" readingOrder="1"/>
      <protection hidden="1"/>
    </xf>
    <xf numFmtId="0" fontId="30" fillId="10" borderId="4" xfId="0" applyFont="1" applyFill="1" applyBorder="1" applyAlignment="1" applyProtection="1">
      <alignment horizontal="center" vertical="center" wrapText="1" readingOrder="1"/>
      <protection hidden="1"/>
    </xf>
    <xf numFmtId="0" fontId="30" fillId="10" borderId="5" xfId="0" applyFont="1" applyFill="1" applyBorder="1" applyAlignment="1" applyProtection="1">
      <alignment horizontal="center" vertical="center" wrapText="1" readingOrder="1"/>
      <protection hidden="1"/>
    </xf>
    <xf numFmtId="0" fontId="30" fillId="10" borderId="7" xfId="0" applyFont="1" applyFill="1" applyBorder="1" applyAlignment="1" applyProtection="1">
      <alignment horizontal="center" vertical="center" wrapText="1" readingOrder="1"/>
      <protection hidden="1"/>
    </xf>
    <xf numFmtId="0" fontId="30" fillId="10" borderId="6" xfId="0" applyFont="1" applyFill="1" applyBorder="1" applyAlignment="1" applyProtection="1">
      <alignment horizontal="center" vertical="center" wrapText="1" readingOrder="1"/>
      <protection hidden="1"/>
    </xf>
    <xf numFmtId="0" fontId="30" fillId="10" borderId="1" xfId="0" applyFont="1" applyFill="1" applyBorder="1" applyAlignment="1" applyProtection="1">
      <alignment horizontal="center" vertical="center" wrapText="1" readingOrder="1"/>
      <protection hidden="1"/>
    </xf>
    <xf numFmtId="0" fontId="30" fillId="10" borderId="8" xfId="0" applyFont="1" applyFill="1" applyBorder="1" applyAlignment="1" applyProtection="1">
      <alignment horizontal="center" vertical="center" wrapText="1" readingOrder="1"/>
      <protection hidden="1"/>
    </xf>
    <xf numFmtId="0" fontId="30" fillId="10" borderId="2" xfId="0" applyFont="1" applyFill="1" applyBorder="1" applyAlignment="1" applyProtection="1">
      <alignment horizontal="center" vertical="center" wrapText="1" readingOrder="1"/>
      <protection hidden="1"/>
    </xf>
    <xf numFmtId="0" fontId="28" fillId="9" borderId="0" xfId="0" applyFont="1" applyFill="1" applyAlignment="1">
      <alignment horizontal="center" vertical="center" wrapText="1" readingOrder="1"/>
    </xf>
    <xf numFmtId="0" fontId="29" fillId="0" borderId="1" xfId="0" applyFont="1" applyBorder="1" applyAlignment="1">
      <alignment horizontal="center" vertical="center" wrapText="1"/>
    </xf>
    <xf numFmtId="0" fontId="29" fillId="0" borderId="8" xfId="0" applyFont="1" applyBorder="1" applyAlignment="1">
      <alignment horizontal="center" vertical="center"/>
    </xf>
    <xf numFmtId="0" fontId="29" fillId="0" borderId="2" xfId="0" applyFont="1" applyBorder="1" applyAlignment="1">
      <alignment horizontal="center" vertical="center"/>
    </xf>
    <xf numFmtId="0" fontId="29" fillId="0" borderId="3" xfId="0" applyFont="1" applyBorder="1" applyAlignment="1">
      <alignment horizontal="center" vertical="center"/>
    </xf>
    <xf numFmtId="0" fontId="29" fillId="0" borderId="0" xfId="0" applyFont="1" applyBorder="1" applyAlignment="1">
      <alignment horizontal="center" vertical="center"/>
    </xf>
    <xf numFmtId="0" fontId="29" fillId="0" borderId="4" xfId="0" applyFont="1" applyBorder="1" applyAlignment="1">
      <alignment horizontal="center" vertical="center"/>
    </xf>
    <xf numFmtId="0" fontId="29" fillId="0" borderId="5" xfId="0" applyFont="1" applyBorder="1" applyAlignment="1">
      <alignment horizontal="center" vertical="center"/>
    </xf>
    <xf numFmtId="0" fontId="29" fillId="0" borderId="7" xfId="0" applyFont="1" applyBorder="1" applyAlignment="1">
      <alignment horizontal="center" vertical="center"/>
    </xf>
    <xf numFmtId="0" fontId="29" fillId="0" borderId="6" xfId="0" applyFont="1" applyBorder="1" applyAlignment="1">
      <alignment horizontal="center" vertical="center"/>
    </xf>
    <xf numFmtId="0" fontId="29" fillId="0" borderId="0" xfId="0" applyFont="1" applyAlignment="1">
      <alignment horizontal="center" vertical="center"/>
    </xf>
    <xf numFmtId="0" fontId="29" fillId="0" borderId="8" xfId="0" applyFont="1" applyBorder="1" applyAlignment="1">
      <alignment horizontal="center" vertical="center" wrapText="1"/>
    </xf>
    <xf numFmtId="0" fontId="28" fillId="9" borderId="0" xfId="0" applyFont="1" applyFill="1" applyAlignment="1">
      <alignment horizontal="center" vertical="center" textRotation="90" wrapText="1" readingOrder="1"/>
    </xf>
    <xf numFmtId="0" fontId="28" fillId="9" borderId="4" xfId="0" applyFont="1" applyFill="1" applyBorder="1" applyAlignment="1">
      <alignment horizontal="center" vertical="center" textRotation="90" wrapText="1" readingOrder="1"/>
    </xf>
    <xf numFmtId="0" fontId="31" fillId="11" borderId="9" xfId="0" applyFont="1" applyFill="1" applyBorder="1" applyAlignment="1">
      <alignment horizontal="center" vertical="center" wrapText="1" readingOrder="1"/>
    </xf>
    <xf numFmtId="0" fontId="31" fillId="11" borderId="10" xfId="0" applyFont="1" applyFill="1" applyBorder="1" applyAlignment="1">
      <alignment horizontal="center" vertical="center" wrapText="1" readingOrder="1"/>
    </xf>
    <xf numFmtId="0" fontId="31" fillId="11" borderId="11" xfId="0" applyFont="1" applyFill="1" applyBorder="1" applyAlignment="1">
      <alignment horizontal="center" vertical="center" wrapText="1" readingOrder="1"/>
    </xf>
    <xf numFmtId="0" fontId="31" fillId="11" borderId="12" xfId="0" applyFont="1" applyFill="1" applyBorder="1" applyAlignment="1">
      <alignment horizontal="center" vertical="center" wrapText="1" readingOrder="1"/>
    </xf>
    <xf numFmtId="0" fontId="31" fillId="11" borderId="0" xfId="0" applyFont="1" applyFill="1" applyBorder="1" applyAlignment="1">
      <alignment horizontal="center" vertical="center" wrapText="1" readingOrder="1"/>
    </xf>
    <xf numFmtId="0" fontId="31" fillId="11" borderId="13" xfId="0" applyFont="1" applyFill="1" applyBorder="1" applyAlignment="1">
      <alignment horizontal="center" vertical="center" wrapText="1" readingOrder="1"/>
    </xf>
    <xf numFmtId="0" fontId="31" fillId="11" borderId="14" xfId="0" applyFont="1" applyFill="1" applyBorder="1" applyAlignment="1">
      <alignment horizontal="center" vertical="center" wrapText="1" readingOrder="1"/>
    </xf>
    <xf numFmtId="0" fontId="31" fillId="11" borderId="15" xfId="0" applyFont="1" applyFill="1" applyBorder="1" applyAlignment="1">
      <alignment horizontal="center" vertical="center" wrapText="1" readingOrder="1"/>
    </xf>
    <xf numFmtId="0" fontId="31" fillId="11" borderId="16" xfId="0" applyFont="1" applyFill="1" applyBorder="1" applyAlignment="1">
      <alignment horizontal="center" vertical="center" wrapText="1" readingOrder="1"/>
    </xf>
    <xf numFmtId="0" fontId="31" fillId="10" borderId="9" xfId="0" applyFont="1" applyFill="1" applyBorder="1" applyAlignment="1">
      <alignment horizontal="center" vertical="center" wrapText="1" readingOrder="1"/>
    </xf>
    <xf numFmtId="0" fontId="31" fillId="10" borderId="10" xfId="0" applyFont="1" applyFill="1" applyBorder="1" applyAlignment="1">
      <alignment horizontal="center" vertical="center" wrapText="1" readingOrder="1"/>
    </xf>
    <xf numFmtId="0" fontId="31" fillId="10" borderId="11" xfId="0" applyFont="1" applyFill="1" applyBorder="1" applyAlignment="1">
      <alignment horizontal="center" vertical="center" wrapText="1" readingOrder="1"/>
    </xf>
    <xf numFmtId="0" fontId="31" fillId="10" borderId="12" xfId="0" applyFont="1" applyFill="1" applyBorder="1" applyAlignment="1">
      <alignment horizontal="center" vertical="center" wrapText="1" readingOrder="1"/>
    </xf>
    <xf numFmtId="0" fontId="31" fillId="10" borderId="0" xfId="0" applyFont="1" applyFill="1" applyBorder="1" applyAlignment="1">
      <alignment horizontal="center" vertical="center" wrapText="1" readingOrder="1"/>
    </xf>
    <xf numFmtId="0" fontId="31" fillId="10" borderId="13" xfId="0" applyFont="1" applyFill="1" applyBorder="1" applyAlignment="1">
      <alignment horizontal="center" vertical="center" wrapText="1" readingOrder="1"/>
    </xf>
    <xf numFmtId="0" fontId="31" fillId="10" borderId="14" xfId="0" applyFont="1" applyFill="1" applyBorder="1" applyAlignment="1">
      <alignment horizontal="center" vertical="center" wrapText="1" readingOrder="1"/>
    </xf>
    <xf numFmtId="0" fontId="31" fillId="10" borderId="15" xfId="0" applyFont="1" applyFill="1" applyBorder="1" applyAlignment="1">
      <alignment horizontal="center" vertical="center" wrapText="1" readingOrder="1"/>
    </xf>
    <xf numFmtId="0" fontId="31" fillId="10" borderId="16" xfId="0" applyFont="1" applyFill="1" applyBorder="1" applyAlignment="1">
      <alignment horizontal="center" vertical="center" wrapText="1" readingOrder="1"/>
    </xf>
    <xf numFmtId="0" fontId="31" fillId="12" borderId="9" xfId="0" applyFont="1" applyFill="1" applyBorder="1" applyAlignment="1">
      <alignment horizontal="center" vertical="center" wrapText="1" readingOrder="1"/>
    </xf>
    <xf numFmtId="0" fontId="31" fillId="12" borderId="10" xfId="0" applyFont="1" applyFill="1" applyBorder="1" applyAlignment="1">
      <alignment horizontal="center" vertical="center" wrapText="1" readingOrder="1"/>
    </xf>
    <xf numFmtId="0" fontId="31" fillId="12" borderId="11" xfId="0" applyFont="1" applyFill="1" applyBorder="1" applyAlignment="1">
      <alignment horizontal="center" vertical="center" wrapText="1" readingOrder="1"/>
    </xf>
    <xf numFmtId="0" fontId="31" fillId="12" borderId="12" xfId="0" applyFont="1" applyFill="1" applyBorder="1" applyAlignment="1">
      <alignment horizontal="center" vertical="center" wrapText="1" readingOrder="1"/>
    </xf>
    <xf numFmtId="0" fontId="31" fillId="12" borderId="0" xfId="0" applyFont="1" applyFill="1" applyBorder="1" applyAlignment="1">
      <alignment horizontal="center" vertical="center" wrapText="1" readingOrder="1"/>
    </xf>
    <xf numFmtId="0" fontId="31" fillId="12" borderId="13" xfId="0" applyFont="1" applyFill="1" applyBorder="1" applyAlignment="1">
      <alignment horizontal="center" vertical="center" wrapText="1" readingOrder="1"/>
    </xf>
    <xf numFmtId="0" fontId="31" fillId="12" borderId="14" xfId="0" applyFont="1" applyFill="1" applyBorder="1" applyAlignment="1">
      <alignment horizontal="center" vertical="center" wrapText="1" readingOrder="1"/>
    </xf>
    <xf numFmtId="0" fontId="31" fillId="12" borderId="15" xfId="0" applyFont="1" applyFill="1" applyBorder="1" applyAlignment="1">
      <alignment horizontal="center" vertical="center" wrapText="1" readingOrder="1"/>
    </xf>
    <xf numFmtId="0" fontId="31" fillId="12" borderId="16" xfId="0" applyFont="1" applyFill="1" applyBorder="1" applyAlignment="1">
      <alignment horizontal="center" vertical="center" wrapText="1" readingOrder="1"/>
    </xf>
    <xf numFmtId="0" fontId="31" fillId="4" borderId="9" xfId="0" applyFont="1" applyFill="1" applyBorder="1" applyAlignment="1">
      <alignment horizontal="center" vertical="center" wrapText="1" readingOrder="1"/>
    </xf>
    <xf numFmtId="0" fontId="31" fillId="4" borderId="10" xfId="0" applyFont="1" applyFill="1" applyBorder="1" applyAlignment="1">
      <alignment horizontal="center" vertical="center" wrapText="1" readingOrder="1"/>
    </xf>
    <xf numFmtId="0" fontId="31" fillId="4" borderId="11" xfId="0" applyFont="1" applyFill="1" applyBorder="1" applyAlignment="1">
      <alignment horizontal="center" vertical="center" wrapText="1" readingOrder="1"/>
    </xf>
    <xf numFmtId="0" fontId="31" fillId="4" borderId="12" xfId="0" applyFont="1" applyFill="1" applyBorder="1" applyAlignment="1">
      <alignment horizontal="center" vertical="center" wrapText="1" readingOrder="1"/>
    </xf>
    <xf numFmtId="0" fontId="31" fillId="4" borderId="0" xfId="0" applyFont="1" applyFill="1" applyBorder="1" applyAlignment="1">
      <alignment horizontal="center" vertical="center" wrapText="1" readingOrder="1"/>
    </xf>
    <xf numFmtId="0" fontId="31" fillId="4" borderId="13" xfId="0" applyFont="1" applyFill="1" applyBorder="1" applyAlignment="1">
      <alignment horizontal="center" vertical="center" wrapText="1" readingOrder="1"/>
    </xf>
    <xf numFmtId="0" fontId="31" fillId="4" borderId="14" xfId="0" applyFont="1" applyFill="1" applyBorder="1" applyAlignment="1">
      <alignment horizontal="center" vertical="center" wrapText="1" readingOrder="1"/>
    </xf>
    <xf numFmtId="0" fontId="31" fillId="4" borderId="15" xfId="0" applyFont="1" applyFill="1" applyBorder="1" applyAlignment="1">
      <alignment horizontal="center" vertical="center" wrapText="1" readingOrder="1"/>
    </xf>
    <xf numFmtId="0" fontId="31" fillId="4" borderId="16" xfId="0" applyFont="1" applyFill="1" applyBorder="1" applyAlignment="1">
      <alignment horizontal="center" vertical="center" wrapText="1" readingOrder="1"/>
    </xf>
    <xf numFmtId="0" fontId="35" fillId="0" borderId="1" xfId="0" applyFont="1" applyBorder="1" applyAlignment="1">
      <alignment horizontal="center" vertical="center" wrapText="1"/>
    </xf>
    <xf numFmtId="0" fontId="35" fillId="0" borderId="8" xfId="0" applyFont="1" applyBorder="1" applyAlignment="1">
      <alignment horizontal="center" vertical="center"/>
    </xf>
    <xf numFmtId="0" fontId="35" fillId="0" borderId="2" xfId="0" applyFont="1" applyBorder="1" applyAlignment="1">
      <alignment horizontal="center" vertical="center"/>
    </xf>
    <xf numFmtId="0" fontId="35" fillId="0" borderId="3" xfId="0" applyFont="1" applyBorder="1" applyAlignment="1">
      <alignment horizontal="center" vertical="center"/>
    </xf>
    <xf numFmtId="0" fontId="35" fillId="0" borderId="0" xfId="0" applyFont="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7" xfId="0" applyFont="1" applyBorder="1" applyAlignment="1">
      <alignment horizontal="center" vertical="center"/>
    </xf>
    <xf numFmtId="0" fontId="35" fillId="0" borderId="6" xfId="0" applyFont="1" applyBorder="1" applyAlignment="1">
      <alignment horizontal="center" vertical="center"/>
    </xf>
    <xf numFmtId="0" fontId="35" fillId="0" borderId="8" xfId="0" applyFont="1" applyBorder="1" applyAlignment="1">
      <alignment horizontal="center" vertical="center" wrapText="1"/>
    </xf>
    <xf numFmtId="0" fontId="37" fillId="10" borderId="9" xfId="0" applyFont="1" applyFill="1" applyBorder="1" applyAlignment="1">
      <alignment horizontal="center" vertical="center" wrapText="1" readingOrder="1"/>
    </xf>
    <xf numFmtId="0" fontId="37" fillId="10" borderId="10" xfId="0" applyFont="1" applyFill="1" applyBorder="1" applyAlignment="1">
      <alignment horizontal="center" vertical="center" wrapText="1" readingOrder="1"/>
    </xf>
    <xf numFmtId="0" fontId="37" fillId="10" borderId="11" xfId="0" applyFont="1" applyFill="1" applyBorder="1" applyAlignment="1">
      <alignment horizontal="center" vertical="center" wrapText="1" readingOrder="1"/>
    </xf>
    <xf numFmtId="0" fontId="37" fillId="10" borderId="12" xfId="0" applyFont="1" applyFill="1" applyBorder="1" applyAlignment="1">
      <alignment horizontal="center" vertical="center" wrapText="1" readingOrder="1"/>
    </xf>
    <xf numFmtId="0" fontId="37" fillId="10" borderId="0" xfId="0" applyFont="1" applyFill="1" applyBorder="1" applyAlignment="1">
      <alignment horizontal="center" vertical="center" wrapText="1" readingOrder="1"/>
    </xf>
    <xf numFmtId="0" fontId="37" fillId="10" borderId="13" xfId="0" applyFont="1" applyFill="1" applyBorder="1" applyAlignment="1">
      <alignment horizontal="center" vertical="center" wrapText="1" readingOrder="1"/>
    </xf>
    <xf numFmtId="0" fontId="37" fillId="10" borderId="14" xfId="0" applyFont="1" applyFill="1" applyBorder="1" applyAlignment="1">
      <alignment horizontal="center" vertical="center" wrapText="1" readingOrder="1"/>
    </xf>
    <xf numFmtId="0" fontId="37" fillId="10" borderId="15" xfId="0" applyFont="1" applyFill="1" applyBorder="1" applyAlignment="1">
      <alignment horizontal="center" vertical="center" wrapText="1" readingOrder="1"/>
    </xf>
    <xf numFmtId="0" fontId="37" fillId="10" borderId="16" xfId="0" applyFont="1" applyFill="1" applyBorder="1" applyAlignment="1">
      <alignment horizontal="center" vertical="center" wrapText="1" readingOrder="1"/>
    </xf>
    <xf numFmtId="0" fontId="35" fillId="0" borderId="3" xfId="0" applyFont="1" applyBorder="1" applyAlignment="1">
      <alignment horizontal="center" vertical="center" wrapText="1"/>
    </xf>
    <xf numFmtId="0" fontId="35" fillId="0" borderId="0" xfId="0" applyFont="1" applyBorder="1" applyAlignment="1">
      <alignment horizontal="center" vertical="center"/>
    </xf>
    <xf numFmtId="0" fontId="37" fillId="11" borderId="9" xfId="0" applyFont="1" applyFill="1" applyBorder="1" applyAlignment="1">
      <alignment horizontal="center" vertical="center" wrapText="1" readingOrder="1"/>
    </xf>
    <xf numFmtId="0" fontId="37" fillId="11" borderId="10" xfId="0" applyFont="1" applyFill="1" applyBorder="1" applyAlignment="1">
      <alignment horizontal="center" vertical="center" wrapText="1" readingOrder="1"/>
    </xf>
    <xf numFmtId="0" fontId="37" fillId="11" borderId="11" xfId="0" applyFont="1" applyFill="1" applyBorder="1" applyAlignment="1">
      <alignment horizontal="center" vertical="center" wrapText="1" readingOrder="1"/>
    </xf>
    <xf numFmtId="0" fontId="37" fillId="11" borderId="12" xfId="0" applyFont="1" applyFill="1" applyBorder="1" applyAlignment="1">
      <alignment horizontal="center" vertical="center" wrapText="1" readingOrder="1"/>
    </xf>
    <xf numFmtId="0" fontId="37" fillId="11" borderId="0" xfId="0" applyFont="1" applyFill="1" applyBorder="1" applyAlignment="1">
      <alignment horizontal="center" vertical="center" wrapText="1" readingOrder="1"/>
    </xf>
    <xf numFmtId="0" fontId="37" fillId="11" borderId="13" xfId="0" applyFont="1" applyFill="1" applyBorder="1" applyAlignment="1">
      <alignment horizontal="center" vertical="center" wrapText="1" readingOrder="1"/>
    </xf>
    <xf numFmtId="0" fontId="37" fillId="11" borderId="14" xfId="0" applyFont="1" applyFill="1" applyBorder="1" applyAlignment="1">
      <alignment horizontal="center" vertical="center" wrapText="1" readingOrder="1"/>
    </xf>
    <xf numFmtId="0" fontId="37" fillId="11" borderId="15" xfId="0" applyFont="1" applyFill="1" applyBorder="1" applyAlignment="1">
      <alignment horizontal="center" vertical="center" wrapText="1" readingOrder="1"/>
    </xf>
    <xf numFmtId="0" fontId="37" fillId="11" borderId="16" xfId="0" applyFont="1" applyFill="1" applyBorder="1" applyAlignment="1">
      <alignment horizontal="center" vertical="center" wrapText="1" readingOrder="1"/>
    </xf>
    <xf numFmtId="0" fontId="33" fillId="0" borderId="0" xfId="0" applyFont="1" applyAlignment="1">
      <alignment horizontal="center" vertical="center" wrapText="1"/>
    </xf>
    <xf numFmtId="0" fontId="34" fillId="0" borderId="0" xfId="0" applyFont="1" applyAlignment="1">
      <alignment horizontal="center" vertical="center" wrapText="1"/>
    </xf>
    <xf numFmtId="0" fontId="37" fillId="4" borderId="9" xfId="0" applyFont="1" applyFill="1" applyBorder="1" applyAlignment="1">
      <alignment horizontal="center" vertical="center" wrapText="1" readingOrder="1"/>
    </xf>
    <xf numFmtId="0" fontId="37" fillId="4" borderId="10" xfId="0" applyFont="1" applyFill="1" applyBorder="1" applyAlignment="1">
      <alignment horizontal="center" vertical="center" wrapText="1" readingOrder="1"/>
    </xf>
    <xf numFmtId="0" fontId="37" fillId="4" borderId="11" xfId="0" applyFont="1" applyFill="1" applyBorder="1" applyAlignment="1">
      <alignment horizontal="center" vertical="center" wrapText="1" readingOrder="1"/>
    </xf>
    <xf numFmtId="0" fontId="37" fillId="4" borderId="12" xfId="0" applyFont="1" applyFill="1" applyBorder="1" applyAlignment="1">
      <alignment horizontal="center" vertical="center" wrapText="1" readingOrder="1"/>
    </xf>
    <xf numFmtId="0" fontId="37" fillId="4" borderId="0" xfId="0" applyFont="1" applyFill="1" applyBorder="1" applyAlignment="1">
      <alignment horizontal="center" vertical="center" wrapText="1" readingOrder="1"/>
    </xf>
    <xf numFmtId="0" fontId="37" fillId="4" borderId="13" xfId="0" applyFont="1" applyFill="1" applyBorder="1" applyAlignment="1">
      <alignment horizontal="center" vertical="center" wrapText="1" readingOrder="1"/>
    </xf>
    <xf numFmtId="0" fontId="37" fillId="4" borderId="14" xfId="0" applyFont="1" applyFill="1" applyBorder="1" applyAlignment="1">
      <alignment horizontal="center" vertical="center" wrapText="1" readingOrder="1"/>
    </xf>
    <xf numFmtId="0" fontId="37" fillId="4" borderId="15" xfId="0" applyFont="1" applyFill="1" applyBorder="1" applyAlignment="1">
      <alignment horizontal="center" vertical="center" wrapText="1" readingOrder="1"/>
    </xf>
    <xf numFmtId="0" fontId="37" fillId="4" borderId="16" xfId="0" applyFont="1" applyFill="1" applyBorder="1" applyAlignment="1">
      <alignment horizontal="center" vertical="center" wrapText="1" readingOrder="1"/>
    </xf>
    <xf numFmtId="0" fontId="37" fillId="12" borderId="9" xfId="0" applyFont="1" applyFill="1" applyBorder="1" applyAlignment="1">
      <alignment horizontal="center" vertical="center" wrapText="1" readingOrder="1"/>
    </xf>
    <xf numFmtId="0" fontId="37" fillId="12" borderId="10" xfId="0" applyFont="1" applyFill="1" applyBorder="1" applyAlignment="1">
      <alignment horizontal="center" vertical="center" wrapText="1" readingOrder="1"/>
    </xf>
    <xf numFmtId="0" fontId="37" fillId="12" borderId="11" xfId="0" applyFont="1" applyFill="1" applyBorder="1" applyAlignment="1">
      <alignment horizontal="center" vertical="center" wrapText="1" readingOrder="1"/>
    </xf>
    <xf numFmtId="0" fontId="37" fillId="12" borderId="12" xfId="0" applyFont="1" applyFill="1" applyBorder="1" applyAlignment="1">
      <alignment horizontal="center" vertical="center" wrapText="1" readingOrder="1"/>
    </xf>
    <xf numFmtId="0" fontId="37" fillId="12" borderId="0" xfId="0" applyFont="1" applyFill="1" applyBorder="1" applyAlignment="1">
      <alignment horizontal="center" vertical="center" wrapText="1" readingOrder="1"/>
    </xf>
    <xf numFmtId="0" fontId="37" fillId="12" borderId="13" xfId="0" applyFont="1" applyFill="1" applyBorder="1" applyAlignment="1">
      <alignment horizontal="center" vertical="center" wrapText="1" readingOrder="1"/>
    </xf>
    <xf numFmtId="0" fontId="37" fillId="12" borderId="14" xfId="0" applyFont="1" applyFill="1" applyBorder="1" applyAlignment="1">
      <alignment horizontal="center" vertical="center" wrapText="1" readingOrder="1"/>
    </xf>
    <xf numFmtId="0" fontId="37" fillId="12" borderId="15" xfId="0" applyFont="1" applyFill="1" applyBorder="1" applyAlignment="1">
      <alignment horizontal="center" vertical="center" wrapText="1" readingOrder="1"/>
    </xf>
    <xf numFmtId="0" fontId="37" fillId="12" borderId="16" xfId="0" applyFont="1" applyFill="1" applyBorder="1" applyAlignment="1">
      <alignment horizontal="center" vertical="center" wrapText="1" readingOrder="1"/>
    </xf>
    <xf numFmtId="0" fontId="9" fillId="0" borderId="0" xfId="0" applyFont="1" applyAlignment="1">
      <alignment horizontal="center" vertical="center"/>
    </xf>
    <xf numFmtId="0" fontId="41" fillId="0" borderId="0" xfId="0" applyFont="1" applyAlignment="1">
      <alignment horizontal="center" vertical="center"/>
    </xf>
    <xf numFmtId="0" fontId="19" fillId="15" borderId="17" xfId="0" applyFont="1" applyFill="1" applyBorder="1" applyAlignment="1">
      <alignment horizontal="center" vertical="center"/>
    </xf>
    <xf numFmtId="0" fontId="19" fillId="14" borderId="28" xfId="0" applyFont="1" applyFill="1" applyBorder="1" applyAlignment="1">
      <alignment horizontal="center" vertical="center"/>
    </xf>
    <xf numFmtId="0" fontId="47" fillId="14" borderId="18" xfId="0" applyFont="1" applyFill="1" applyBorder="1" applyAlignment="1">
      <alignment horizontal="center" vertical="center" wrapText="1" readingOrder="1"/>
    </xf>
    <xf numFmtId="0" fontId="47" fillId="14" borderId="27" xfId="0" applyFont="1" applyFill="1" applyBorder="1" applyAlignment="1">
      <alignment horizontal="center" vertical="center" wrapText="1" readingOrder="1"/>
    </xf>
    <xf numFmtId="0" fontId="47" fillId="14" borderId="19" xfId="0" applyFont="1" applyFill="1" applyBorder="1" applyAlignment="1">
      <alignment horizontal="center" vertical="center" wrapText="1" readingOrder="1"/>
    </xf>
    <xf numFmtId="0" fontId="14" fillId="2" borderId="0" xfId="0" applyFont="1" applyFill="1" applyBorder="1" applyAlignment="1">
      <alignment horizontal="justify" vertical="center" wrapText="1"/>
    </xf>
    <xf numFmtId="0" fontId="47" fillId="14" borderId="17" xfId="0" applyFont="1" applyFill="1" applyBorder="1" applyAlignment="1">
      <alignment horizontal="center" vertical="center" wrapText="1" readingOrder="1"/>
    </xf>
    <xf numFmtId="0" fontId="47" fillId="2" borderId="17" xfId="0" applyFont="1" applyFill="1" applyBorder="1" applyAlignment="1">
      <alignment horizontal="center" vertical="center" wrapText="1" readingOrder="1"/>
    </xf>
    <xf numFmtId="0" fontId="21" fillId="0" borderId="0" xfId="0" applyFont="1" applyFill="1" applyAlignment="1">
      <alignment horizontal="left" vertical="center" readingOrder="1"/>
    </xf>
    <xf numFmtId="0" fontId="15" fillId="0" borderId="0" xfId="0" applyFont="1" applyBorder="1" applyAlignment="1">
      <alignment vertical="center" wrapText="1"/>
    </xf>
    <xf numFmtId="0" fontId="15" fillId="0" borderId="0" xfId="0" applyFont="1" applyBorder="1" applyAlignment="1">
      <alignment horizontal="left" wrapText="1"/>
    </xf>
    <xf numFmtId="0" fontId="15" fillId="0" borderId="0" xfId="0" applyFont="1" applyBorder="1" applyAlignment="1">
      <alignment vertical="center"/>
    </xf>
    <xf numFmtId="0" fontId="15" fillId="0" borderId="0" xfId="0" applyFont="1" applyBorder="1" applyAlignment="1">
      <alignment wrapText="1"/>
    </xf>
  </cellXfs>
  <cellStyles count="6">
    <cellStyle name="Excel Built-in Normal" xfId="5" xr:uid="{00000000-0005-0000-0000-000000000000}"/>
    <cellStyle name="Normal" xfId="0" builtinId="0"/>
    <cellStyle name="Normal - Style1 2" xfId="2" xr:uid="{00000000-0005-0000-0000-000002000000}"/>
    <cellStyle name="Normal 2" xfId="4" xr:uid="{00000000-0005-0000-0000-000003000000}"/>
    <cellStyle name="Normal 2 2" xfId="3" xr:uid="{00000000-0005-0000-0000-000004000000}"/>
    <cellStyle name="Porcentaje" xfId="1" builtinId="5"/>
  </cellStyles>
  <dxfs count="109">
    <dxf>
      <fill>
        <patternFill>
          <bgColor rgb="FFFFFF00"/>
        </patternFill>
      </fill>
    </dxf>
    <dxf>
      <fill>
        <patternFill>
          <bgColor theme="9" tint="-0.24994659260841701"/>
        </patternFill>
      </fill>
    </dxf>
    <dxf>
      <fill>
        <patternFill>
          <bgColor rgb="FFFF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ont>
        <color auto="1"/>
      </font>
      <fill>
        <patternFill>
          <bgColor rgb="FF92D050"/>
        </patternFill>
      </fill>
    </dxf>
    <dxf>
      <fill>
        <patternFill>
          <bgColor rgb="FFFFFF66"/>
        </patternFill>
      </fill>
    </dxf>
    <dxf>
      <fill>
        <patternFill>
          <bgColor rgb="FFFFC000"/>
        </patternFill>
      </fill>
    </dxf>
    <dxf>
      <fill>
        <patternFill>
          <bgColor rgb="FF00B050"/>
        </patternFill>
      </fill>
    </dxf>
    <dxf>
      <fill>
        <patternFill>
          <bgColor rgb="FFFF0000"/>
        </patternFill>
      </fill>
    </dxf>
    <dxf>
      <font>
        <color auto="1"/>
      </font>
      <fill>
        <patternFill>
          <bgColor rgb="FF92D050"/>
        </patternFill>
      </fill>
    </dxf>
    <dxf>
      <fill>
        <patternFill>
          <bgColor rgb="FFFF0000"/>
        </patternFill>
      </fill>
    </dxf>
    <dxf>
      <fill>
        <patternFill>
          <bgColor rgb="FFFFC000"/>
        </patternFill>
      </fill>
    </dxf>
    <dxf>
      <fill>
        <patternFill>
          <bgColor rgb="FFFFFF66"/>
        </patternFill>
      </fill>
    </dxf>
    <dxf>
      <fill>
        <patternFill>
          <bgColor rgb="FF00B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theme="9" tint="-0.24994659260841701"/>
        </patternFill>
      </fill>
    </dxf>
    <dxf>
      <fill>
        <patternFill>
          <bgColor rgb="FFFFFF00"/>
        </patternFill>
      </fill>
    </dxf>
    <dxf>
      <fill>
        <patternFill>
          <bgColor rgb="FFC0000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ill>
        <patternFill>
          <bgColor theme="9" tint="-0.24994659260841701"/>
        </patternFill>
      </fill>
    </dxf>
    <dxf>
      <fill>
        <patternFill>
          <bgColor rgb="FF92D050"/>
        </patternFill>
      </fill>
    </dxf>
    <dxf>
      <fill>
        <patternFill>
          <bgColor rgb="FFFFFF00"/>
        </patternFill>
      </fill>
    </dxf>
    <dxf>
      <fill>
        <patternFill>
          <bgColor rgb="FFC00000"/>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C00000"/>
        </patternFill>
      </fill>
    </dxf>
    <dxf>
      <fill>
        <patternFill>
          <bgColor rgb="FFFFFF00"/>
        </patternFill>
      </fill>
    </dxf>
    <dxf>
      <fill>
        <patternFill>
          <bgColor rgb="FF92D050"/>
        </patternFill>
      </fill>
    </dxf>
    <dxf>
      <fill>
        <patternFill>
          <bgColor theme="9" tint="-0.24994659260841701"/>
        </patternFill>
      </fill>
    </dxf>
    <dxf>
      <fill>
        <patternFill>
          <bgColor rgb="FFC00000"/>
        </patternFill>
      </fill>
    </dxf>
    <dxf>
      <fill>
        <patternFill>
          <bgColor theme="9" tint="-0.24994659260841701"/>
        </patternFill>
      </fill>
    </dxf>
    <dxf>
      <fill>
        <patternFill>
          <bgColor rgb="FFFFFF00"/>
        </patternFill>
      </fill>
    </dxf>
    <dxf>
      <fill>
        <patternFill>
          <bgColor rgb="FF92D050"/>
        </patternFill>
      </fill>
    </dxf>
    <dxf>
      <fill>
        <patternFill>
          <bgColor rgb="FF92D050"/>
        </patternFill>
      </fill>
    </dxf>
    <dxf>
      <fill>
        <patternFill>
          <bgColor rgb="FFFFFF00"/>
        </patternFill>
      </fill>
    </dxf>
    <dxf>
      <fill>
        <patternFill>
          <bgColor theme="9" tint="-0.24994659260841701"/>
        </patternFill>
      </fill>
    </dxf>
    <dxf>
      <fill>
        <patternFill>
          <bgColor rgb="FFC00000"/>
        </patternFill>
      </fill>
    </dxf>
    <dxf>
      <font>
        <color auto="1"/>
      </font>
      <fill>
        <patternFill>
          <bgColor rgb="FF92D050"/>
        </patternFill>
      </fill>
    </dxf>
    <dxf>
      <fill>
        <patternFill>
          <bgColor rgb="FF00B050"/>
        </patternFill>
      </fill>
    </dxf>
    <dxf>
      <fill>
        <patternFill>
          <bgColor rgb="FFFFC000"/>
        </patternFill>
      </fill>
    </dxf>
    <dxf>
      <fill>
        <patternFill>
          <bgColor rgb="FFFF0000"/>
        </patternFill>
      </fill>
    </dxf>
    <dxf>
      <fill>
        <patternFill>
          <bgColor rgb="FFFFFF66"/>
        </patternFill>
      </fill>
    </dxf>
    <dxf>
      <font>
        <color rgb="FF9C0006"/>
      </font>
      <fill>
        <patternFill>
          <bgColor rgb="FFFFC7CE"/>
        </patternFill>
      </fill>
    </dxf>
    <dxf>
      <fill>
        <patternFill>
          <bgColor rgb="FFFF0000"/>
        </patternFill>
      </fill>
    </dxf>
    <dxf>
      <fill>
        <patternFill>
          <bgColor rgb="FFFFFF66"/>
        </patternFill>
      </fill>
    </dxf>
    <dxf>
      <fill>
        <patternFill>
          <bgColor rgb="FFFFC000"/>
        </patternFill>
      </fill>
    </dxf>
    <dxf>
      <font>
        <color auto="1"/>
      </font>
      <fill>
        <patternFill>
          <bgColor rgb="FF92D050"/>
        </patternFill>
      </fill>
    </dxf>
    <dxf>
      <fill>
        <patternFill>
          <bgColor rgb="FF00B05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0000"/>
        </patternFill>
      </fill>
    </dxf>
    <dxf>
      <font>
        <color auto="1"/>
      </font>
      <fill>
        <patternFill>
          <bgColor rgb="FF92D050"/>
        </patternFill>
      </fill>
    </dxf>
    <dxf>
      <fill>
        <patternFill>
          <bgColor rgb="FF00B050"/>
        </patternFill>
      </fill>
    </dxf>
    <dxf>
      <fill>
        <patternFill>
          <bgColor rgb="FFFFFF66"/>
        </patternFill>
      </fill>
    </dxf>
    <dxf>
      <fill>
        <patternFill>
          <bgColor rgb="FFFFC000"/>
        </patternFill>
      </fill>
    </dxf>
    <dxf>
      <fill>
        <patternFill>
          <bgColor rgb="FFFF0000"/>
        </patternFill>
      </fill>
    </dxf>
    <dxf>
      <fill>
        <patternFill>
          <bgColor rgb="FFFFFF66"/>
        </patternFill>
      </fill>
    </dxf>
    <dxf>
      <fill>
        <patternFill>
          <bgColor rgb="FF00B050"/>
        </patternFill>
      </fill>
    </dxf>
    <dxf>
      <font>
        <color auto="1"/>
      </font>
      <fill>
        <patternFill>
          <bgColor rgb="FF92D050"/>
        </patternFill>
      </fill>
    </dxf>
    <dxf>
      <fill>
        <patternFill>
          <bgColor rgb="FFFFC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ill>
        <patternFill>
          <bgColor rgb="FFFF0000"/>
        </patternFill>
      </fill>
    </dxf>
    <dxf>
      <fill>
        <patternFill>
          <bgColor rgb="FFFFC000"/>
        </patternFill>
      </fill>
    </dxf>
    <dxf>
      <fill>
        <patternFill>
          <bgColor rgb="FFFFFF66"/>
        </patternFill>
      </fill>
    </dxf>
    <dxf>
      <fill>
        <patternFill>
          <bgColor rgb="FF00B050"/>
        </patternFill>
      </fill>
    </dxf>
    <dxf>
      <font>
        <color auto="1"/>
      </font>
      <fill>
        <patternFill>
          <bgColor rgb="FF92D050"/>
        </patternFill>
      </fill>
    </dxf>
    <dxf>
      <fill>
        <patternFill>
          <bgColor rgb="FFFF0000"/>
        </patternFill>
      </fill>
    </dxf>
    <dxf>
      <font>
        <color auto="1"/>
      </font>
      <fill>
        <patternFill>
          <bgColor rgb="FF92D050"/>
        </patternFill>
      </fill>
    </dxf>
    <dxf>
      <fill>
        <patternFill>
          <bgColor rgb="FFFFFF66"/>
        </patternFill>
      </fill>
    </dxf>
    <dxf>
      <fill>
        <patternFill>
          <bgColor rgb="FF00B050"/>
        </patternFill>
      </fill>
    </dxf>
    <dxf>
      <fill>
        <patternFill>
          <bgColor rgb="FFFFC000"/>
        </patternFill>
      </fill>
    </dxf>
    <dxf>
      <font>
        <color auto="1"/>
      </font>
      <fill>
        <patternFill>
          <bgColor rgb="FF92D050"/>
        </patternFill>
      </fill>
    </dxf>
    <dxf>
      <fill>
        <patternFill>
          <bgColor rgb="FF00B050"/>
        </patternFill>
      </fill>
    </dxf>
    <dxf>
      <fill>
        <patternFill>
          <bgColor rgb="FFFF0000"/>
        </patternFill>
      </fill>
    </dxf>
    <dxf>
      <fill>
        <patternFill>
          <bgColor rgb="FFFFC000"/>
        </patternFill>
      </fill>
    </dxf>
    <dxf>
      <fill>
        <patternFill>
          <bgColor rgb="FFFFFF66"/>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dxf>
    <dxf>
      <font>
        <b val="0"/>
        <i val="0"/>
        <strike val="0"/>
        <condense val="0"/>
        <extend val="0"/>
        <outline val="0"/>
        <shadow val="0"/>
        <u val="none"/>
        <vertAlign val="baseline"/>
        <sz val="16"/>
        <color rgb="FFFF0000"/>
        <name val="Arial"/>
        <scheme val="none"/>
      </font>
      <fill>
        <patternFill patternType="none">
          <fgColor indexed="64"/>
          <bgColor indexed="65"/>
        </patternFill>
      </fill>
      <alignment horizontal="general" vertical="center" textRotation="0" wrapText="0" indent="0" justifyLastLine="0" shrinkToFit="0" readingOrder="0"/>
    </dxf>
    <dxf>
      <font>
        <name val="Arial"/>
        <scheme val="none"/>
      </font>
    </dxf>
    <dxf>
      <font>
        <name val="Arial"/>
        <scheme val="none"/>
      </font>
    </dxf>
    <dxf>
      <font>
        <name val="Arial"/>
        <scheme val="none"/>
      </font>
    </dxf>
    <dxf>
      <font>
        <name val="Arial"/>
        <scheme val="none"/>
      </font>
    </dxf>
    <dxf>
      <font>
        <name val="Arial"/>
        <scheme val="none"/>
      </font>
    </dxf>
    <dxf>
      <font>
        <name val="Arial"/>
        <scheme val="none"/>
      </font>
    </dxf>
  </dxfs>
  <tableStyles count="0" defaultTableStyle="TableStyleMedium2" defaultPivotStyle="PivotStyleLight16"/>
  <colors>
    <mruColors>
      <color rgb="FFFF9900"/>
      <color rgb="FF1C497A"/>
      <color rgb="FF445D73"/>
      <color rgb="FFD1CECE"/>
      <color rgb="FFFFFF66"/>
      <color rgb="FFFF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265906</xdr:colOff>
      <xdr:row>0</xdr:row>
      <xdr:rowOff>142874</xdr:rowOff>
    </xdr:from>
    <xdr:to>
      <xdr:col>3</xdr:col>
      <xdr:colOff>713267</xdr:colOff>
      <xdr:row>3</xdr:row>
      <xdr:rowOff>111125</xdr:rowOff>
    </xdr:to>
    <xdr:pic>
      <xdr:nvPicPr>
        <xdr:cNvPr id="2" name="Imagen 1">
          <a:extLst>
            <a:ext uri="{FF2B5EF4-FFF2-40B4-BE49-F238E27FC236}">
              <a16:creationId xmlns:a16="http://schemas.microsoft.com/office/drawing/2014/main" id="{CEABD419-2892-4EB0-BBD6-082C88F8BF69}"/>
            </a:ext>
          </a:extLst>
        </xdr:cNvPr>
        <xdr:cNvPicPr preferRelativeResize="0">
          <a:picLocks noChangeAspect="1"/>
        </xdr:cNvPicPr>
      </xdr:nvPicPr>
      <xdr:blipFill>
        <a:blip xmlns:r="http://schemas.openxmlformats.org/officeDocument/2006/relationships" r:embed="rId1"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04031" y="142874"/>
          <a:ext cx="1034736" cy="109537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dres Marin" refreshedDate="44186.276661689815" createdVersion="6" refreshedVersion="6" minRefreshableVersion="3" recordCount="10" xr:uid="{00000000-000A-0000-FFFF-FFFF00000000}">
  <cacheSource type="worksheet">
    <worksheetSource name="Tabla1"/>
  </cacheSource>
  <cacheFields count="2">
    <cacheField name="Criterios" numFmtId="0">
      <sharedItems count="2">
        <s v="Afectación Económica o presupuestal"/>
        <s v="Pérdida Reputacional"/>
      </sharedItems>
    </cacheField>
    <cacheField name="Subcriterios" numFmtId="0">
      <sharedItems count="10">
        <s v="Afectación menor a 10 SMLMV ."/>
        <s v="Entre 10 y 50 SMLMV "/>
        <s v="Entre 50 y 100 SMLMV "/>
        <s v="Entre 100 y 500 SMLMV "/>
        <s v="Mayor a 500 SMLMV "/>
        <s v="El riesgo afecta la imagen de alguna área de la organización"/>
        <s v="El riesgo afecta la imagen de la entidad internamente, de conocimiento general, nivel interno, de junta dircetiva y accionistas y/o de provedores"/>
        <s v="El riesgo afecta la imagen de la entidad con algunos usuarios de relevancia frente al logro de los objetivos"/>
        <s v="El riesgo afecta la imagen de de la entidad con efecto publicitario sostenido a nivel de sector administrativo, nivel departamental o municipal"/>
        <s v="El riesgo afecta la imagen de la entidad a nivel nacional, con efecto publicitarios sostenible a nivel país"/>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
  <r>
    <x v="0"/>
    <x v="0"/>
  </r>
  <r>
    <x v="0"/>
    <x v="1"/>
  </r>
  <r>
    <x v="0"/>
    <x v="2"/>
  </r>
  <r>
    <x v="0"/>
    <x v="3"/>
  </r>
  <r>
    <x v="0"/>
    <x v="4"/>
  </r>
  <r>
    <x v="1"/>
    <x v="5"/>
  </r>
  <r>
    <x v="1"/>
    <x v="6"/>
  </r>
  <r>
    <x v="1"/>
    <x v="7"/>
  </r>
  <r>
    <x v="1"/>
    <x v="8"/>
  </r>
  <r>
    <x v="1"/>
    <x v="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700-000000000000}" name="TablaDinámica1" cacheId="0" applyNumberFormats="0" applyBorderFormats="0" applyFontFormats="0" applyPatternFormats="0" applyAlignmentFormats="0" applyWidthHeightFormats="1" dataCaption="Valores" updatedVersion="6" minRefreshableVersion="3" useAutoFormatting="1" rowGrandTotals="0" colGrandTotals="0" itemPrintTitles="1" createdVersion="6" indent="0" compact="0" outline="1" outlineData="1" compactData="0" multipleFieldFilters="0">
  <location ref="D209:E221" firstHeaderRow="1" firstDataRow="1" firstDataCol="2"/>
  <pivotFields count="2">
    <pivotField axis="axisRow" compact="0" showAll="0" defaultSubtotal="0">
      <items count="2">
        <item x="0"/>
        <item x="1"/>
      </items>
    </pivotField>
    <pivotField axis="axisRow" compact="0" showAll="0" defaultSubtotal="0">
      <items count="10">
        <item x="0"/>
        <item x="5"/>
        <item x="6"/>
        <item x="7"/>
        <item x="8"/>
        <item x="9"/>
        <item x="1"/>
        <item x="2"/>
        <item x="3"/>
        <item x="4"/>
      </items>
    </pivotField>
  </pivotFields>
  <rowFields count="2">
    <field x="0"/>
    <field x="1"/>
  </rowFields>
  <rowItems count="12">
    <i>
      <x/>
    </i>
    <i r="1">
      <x/>
    </i>
    <i r="1">
      <x v="6"/>
    </i>
    <i r="1">
      <x v="7"/>
    </i>
    <i r="1">
      <x v="8"/>
    </i>
    <i r="1">
      <x v="9"/>
    </i>
    <i>
      <x v="1"/>
    </i>
    <i r="1">
      <x v="1"/>
    </i>
    <i r="1">
      <x v="2"/>
    </i>
    <i r="1">
      <x v="3"/>
    </i>
    <i r="1">
      <x v="4"/>
    </i>
    <i r="1">
      <x v="5"/>
    </i>
  </rowItems>
  <colItems count="1">
    <i/>
  </colItems>
  <formats count="6">
    <format dxfId="108">
      <pivotArea type="all" dataOnly="0" outline="0" fieldPosition="0"/>
    </format>
    <format dxfId="107">
      <pivotArea field="0" type="button" dataOnly="0" labelOnly="1" outline="0" axis="axisRow" fieldPosition="0"/>
    </format>
    <format dxfId="106">
      <pivotArea field="1" type="button" dataOnly="0" labelOnly="1" outline="0" axis="axisRow" fieldPosition="1"/>
    </format>
    <format dxfId="105">
      <pivotArea dataOnly="0" labelOnly="1" outline="0" fieldPosition="0">
        <references count="1">
          <reference field="0" count="0"/>
        </references>
      </pivotArea>
    </format>
    <format dxfId="104">
      <pivotArea dataOnly="0" labelOnly="1" outline="0" fieldPosition="0">
        <references count="2">
          <reference field="0" count="1" selected="0">
            <x v="0"/>
          </reference>
          <reference field="1" count="5">
            <x v="0"/>
            <x v="6"/>
            <x v="7"/>
            <x v="8"/>
            <x v="9"/>
          </reference>
        </references>
      </pivotArea>
    </format>
    <format dxfId="103">
      <pivotArea dataOnly="0" labelOnly="1" outline="0" fieldPosition="0">
        <references count="2">
          <reference field="0" count="1" selected="0">
            <x v="1"/>
          </reference>
          <reference field="1" count="5">
            <x v="1"/>
            <x v="2"/>
            <x v="3"/>
            <x v="4"/>
            <x v="5"/>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nabledSubtotalsDefault="0" SubtotalsOnTopDefault="0"/>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a1" displayName="Tabla1" ref="B209:C219" totalsRowShown="0" headerRowDxfId="102" dataDxfId="101">
  <autoFilter ref="B209:C219" xr:uid="{00000000-0009-0000-0100-000001000000}"/>
  <tableColumns count="2">
    <tableColumn id="1" xr3:uid="{00000000-0010-0000-0000-000001000000}" name="Criterios" dataDxfId="100"/>
    <tableColumn id="2" xr3:uid="{00000000-0010-0000-0000-000002000000}" name="Subcriterios" dataDxfId="9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printerSettings" Target="../printerSettings/printerSettings5.bin"/><Relationship Id="rId1" Type="http://schemas.openxmlformats.org/officeDocument/2006/relationships/pivotTable" Target="../pivotTables/pivotTable1.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tabColor rgb="FF002060"/>
  </sheetPr>
  <dimension ref="A1:BV326"/>
  <sheetViews>
    <sheetView showGridLines="0" tabSelected="1" zoomScale="60" zoomScaleNormal="60" workbookViewId="0">
      <selection activeCell="E341" sqref="E341"/>
    </sheetView>
  </sheetViews>
  <sheetFormatPr baseColWidth="10" defaultRowHeight="14.25" x14ac:dyDescent="0.2"/>
  <cols>
    <col min="1" max="1" width="3.5703125" style="13" customWidth="1"/>
    <col min="2" max="2" width="4" style="13" customWidth="1"/>
    <col min="3" max="3" width="4.85546875" style="18" customWidth="1"/>
    <col min="4" max="4" width="13.42578125" style="13" customWidth="1"/>
    <col min="5" max="5" width="38.85546875" style="13" customWidth="1"/>
    <col min="6" max="6" width="34.140625" style="13" customWidth="1"/>
    <col min="7" max="7" width="31.5703125" style="13" customWidth="1"/>
    <col min="8" max="8" width="44.140625" style="13" customWidth="1"/>
    <col min="9" max="9" width="32.42578125" style="8" customWidth="1"/>
    <col min="10" max="10" width="16.85546875" style="8" customWidth="1"/>
    <col min="11" max="11" width="15.7109375" style="14" customWidth="1"/>
    <col min="12" max="12" width="15.85546875" style="8" customWidth="1"/>
    <col min="13" max="13" width="11.5703125" style="8" customWidth="1"/>
    <col min="14" max="14" width="6.28515625" style="8" bestFit="1" customWidth="1"/>
    <col min="15" max="15" width="19.140625" style="8" customWidth="1"/>
    <col min="16" max="16" width="30.5703125" style="8" hidden="1" customWidth="1"/>
    <col min="17" max="17" width="17" style="8" customWidth="1"/>
    <col min="18" max="18" width="8.85546875" style="8" customWidth="1"/>
    <col min="19" max="19" width="15.28515625" style="8" customWidth="1"/>
    <col min="20" max="20" width="4" style="12" customWidth="1"/>
    <col min="21" max="21" width="49.85546875" style="8" customWidth="1"/>
    <col min="22" max="22" width="14.42578125" style="12" customWidth="1"/>
    <col min="23" max="23" width="4.7109375" style="21" customWidth="1"/>
    <col min="24" max="24" width="3.5703125" style="21" bestFit="1" customWidth="1"/>
    <col min="25" max="25" width="5.140625" style="18" bestFit="1" customWidth="1"/>
    <col min="26" max="28" width="3.5703125" style="21" bestFit="1" customWidth="1"/>
    <col min="29" max="29" width="38.28515625" style="8" hidden="1" customWidth="1"/>
    <col min="30" max="30" width="7.140625" style="13" customWidth="1"/>
    <col min="31" max="31" width="5.28515625" style="13" customWidth="1"/>
    <col min="32" max="32" width="8.5703125" style="13" customWidth="1"/>
    <col min="33" max="33" width="6.28515625" style="13" customWidth="1"/>
    <col min="34" max="34" width="6.5703125" style="13" customWidth="1"/>
    <col min="35" max="35" width="4.7109375" style="13" customWidth="1"/>
    <col min="36" max="36" width="37.5703125" style="8" customWidth="1"/>
    <col min="37" max="37" width="13.140625" style="8" customWidth="1"/>
    <col min="38" max="38" width="15.42578125" style="8" customWidth="1"/>
    <col min="39" max="39" width="14.85546875" style="8" hidden="1" customWidth="1"/>
    <col min="40" max="40" width="18.28515625" style="8" customWidth="1"/>
    <col min="41" max="41" width="18" style="8" customWidth="1"/>
    <col min="42" max="42" width="30.28515625" style="8" customWidth="1"/>
    <col min="43" max="16384" width="11.42578125" style="8"/>
  </cols>
  <sheetData>
    <row r="1" spans="1:74" s="79" customFormat="1" ht="29.25" customHeight="1" x14ac:dyDescent="0.2">
      <c r="A1" s="78"/>
      <c r="B1" s="78"/>
      <c r="C1" s="78"/>
      <c r="D1" s="174"/>
      <c r="E1" s="233"/>
      <c r="F1" s="233"/>
      <c r="G1" s="233"/>
      <c r="H1" s="233"/>
      <c r="I1" s="233"/>
      <c r="J1" s="78"/>
      <c r="K1" s="78"/>
      <c r="L1" s="78"/>
      <c r="M1" s="78"/>
      <c r="N1" s="78"/>
      <c r="O1" s="78"/>
      <c r="P1" s="78"/>
      <c r="Q1" s="78"/>
      <c r="R1" s="78"/>
      <c r="S1" s="78"/>
      <c r="T1" s="78"/>
      <c r="U1" s="78"/>
      <c r="W1" s="78"/>
      <c r="X1" s="80"/>
      <c r="Y1" s="80"/>
      <c r="Z1" s="81"/>
      <c r="AA1" s="80"/>
      <c r="AB1" s="80"/>
      <c r="AC1" s="80"/>
      <c r="AE1" s="82"/>
      <c r="AF1" s="82"/>
      <c r="AG1" s="82"/>
      <c r="AH1" s="82"/>
      <c r="AI1" s="82"/>
      <c r="AJ1" s="82"/>
    </row>
    <row r="2" spans="1:74" s="79" customFormat="1" ht="30" x14ac:dyDescent="0.2">
      <c r="A2" s="78"/>
      <c r="B2" s="78"/>
      <c r="C2" s="78"/>
      <c r="D2" s="174"/>
      <c r="E2" s="234" t="s">
        <v>830</v>
      </c>
      <c r="F2" s="234"/>
      <c r="G2" s="234"/>
      <c r="H2" s="234"/>
      <c r="I2" s="234"/>
      <c r="J2" s="78"/>
      <c r="K2" s="78"/>
      <c r="L2" s="78"/>
      <c r="M2" s="78"/>
      <c r="N2" s="78"/>
      <c r="O2" s="78"/>
      <c r="P2" s="78"/>
      <c r="Q2" s="78"/>
      <c r="R2" s="78"/>
      <c r="S2" s="78"/>
      <c r="T2" s="78"/>
      <c r="U2" s="78"/>
      <c r="W2" s="78"/>
      <c r="X2" s="80"/>
      <c r="Y2" s="80"/>
      <c r="Z2" s="81"/>
      <c r="AA2" s="80"/>
      <c r="AB2" s="80"/>
      <c r="AC2" s="80"/>
      <c r="AE2" s="82"/>
      <c r="AF2" s="82"/>
      <c r="AG2" s="82"/>
      <c r="AH2" s="82"/>
      <c r="AI2" s="82"/>
      <c r="AJ2" s="82"/>
    </row>
    <row r="3" spans="1:74" s="79" customFormat="1" ht="30" x14ac:dyDescent="0.2">
      <c r="A3" s="78"/>
      <c r="B3" s="78"/>
      <c r="C3" s="78"/>
      <c r="D3" s="174"/>
      <c r="E3" s="234" t="s">
        <v>831</v>
      </c>
      <c r="F3" s="235"/>
      <c r="G3" s="235"/>
      <c r="H3" s="235"/>
      <c r="I3" s="235"/>
      <c r="J3" s="78"/>
      <c r="K3" s="78"/>
      <c r="L3" s="78"/>
      <c r="M3" s="78"/>
      <c r="N3" s="78"/>
      <c r="O3" s="78"/>
      <c r="P3" s="78"/>
      <c r="Q3" s="78"/>
      <c r="R3" s="78"/>
      <c r="S3" s="78"/>
      <c r="T3" s="78"/>
      <c r="U3" s="78"/>
      <c r="W3" s="78"/>
      <c r="X3" s="80"/>
      <c r="Y3" s="80"/>
      <c r="Z3" s="81"/>
      <c r="AA3" s="80"/>
      <c r="AB3" s="80"/>
      <c r="AC3" s="80"/>
      <c r="AE3" s="82"/>
      <c r="AF3" s="82"/>
      <c r="AG3" s="82"/>
      <c r="AH3" s="82"/>
      <c r="AI3" s="82"/>
      <c r="AJ3" s="82"/>
    </row>
    <row r="4" spans="1:74" s="79" customFormat="1" ht="14.25" customHeight="1" x14ac:dyDescent="0.2">
      <c r="A4" s="78"/>
      <c r="B4" s="78"/>
      <c r="C4" s="78"/>
      <c r="D4" s="174"/>
      <c r="E4" s="175"/>
      <c r="F4" s="176"/>
      <c r="G4" s="176"/>
      <c r="H4" s="176"/>
      <c r="I4" s="176"/>
      <c r="J4" s="83"/>
      <c r="K4" s="83"/>
      <c r="L4" s="83"/>
      <c r="M4" s="83"/>
      <c r="N4" s="83"/>
      <c r="O4" s="83"/>
      <c r="P4" s="83"/>
      <c r="Q4" s="83"/>
      <c r="R4" s="83"/>
      <c r="S4" s="83"/>
      <c r="T4" s="83"/>
      <c r="U4" s="78"/>
      <c r="W4" s="78"/>
      <c r="X4" s="80"/>
      <c r="Y4" s="80"/>
      <c r="Z4" s="81"/>
      <c r="AA4" s="80"/>
      <c r="AB4" s="80"/>
      <c r="AC4" s="80"/>
      <c r="AE4" s="82"/>
      <c r="AF4" s="82"/>
      <c r="AG4" s="82"/>
      <c r="AH4" s="82"/>
      <c r="AI4" s="82"/>
      <c r="AJ4" s="82"/>
    </row>
    <row r="5" spans="1:74" s="79" customFormat="1" ht="8.25" customHeight="1" x14ac:dyDescent="0.2">
      <c r="A5" s="232"/>
      <c r="B5" s="232"/>
      <c r="C5" s="232"/>
      <c r="D5" s="78"/>
      <c r="E5" s="78"/>
      <c r="F5" s="78"/>
      <c r="G5" s="78"/>
      <c r="H5" s="177"/>
      <c r="I5" s="177"/>
      <c r="J5" s="84"/>
      <c r="K5" s="84"/>
      <c r="L5" s="84"/>
      <c r="M5" s="84"/>
      <c r="N5" s="84"/>
      <c r="O5" s="84"/>
      <c r="P5" s="84"/>
      <c r="Q5" s="84"/>
      <c r="R5" s="84"/>
      <c r="S5" s="84"/>
      <c r="T5" s="84"/>
      <c r="U5" s="193"/>
      <c r="V5" s="193"/>
      <c r="W5" s="193"/>
      <c r="X5" s="85"/>
      <c r="Y5" s="85"/>
      <c r="Z5" s="86"/>
      <c r="AA5" s="85"/>
      <c r="AB5" s="85"/>
      <c r="AC5" s="85"/>
      <c r="AD5" s="87"/>
      <c r="AE5" s="88"/>
      <c r="AF5" s="88"/>
      <c r="AG5" s="88"/>
      <c r="AH5" s="88"/>
      <c r="AI5" s="88"/>
      <c r="AJ5" s="88"/>
      <c r="AK5" s="87"/>
      <c r="AL5" s="87"/>
      <c r="AM5" s="87"/>
      <c r="AN5" s="87"/>
      <c r="AO5" s="87"/>
      <c r="AP5" s="87"/>
      <c r="AQ5" s="87"/>
      <c r="AR5" s="87"/>
      <c r="AS5" s="87"/>
      <c r="AT5" s="87"/>
      <c r="AU5" s="87"/>
      <c r="AV5" s="87"/>
      <c r="AW5" s="87"/>
      <c r="AX5" s="87"/>
      <c r="AY5" s="87"/>
      <c r="AZ5" s="87"/>
      <c r="BA5" s="87"/>
      <c r="BB5" s="87"/>
      <c r="BC5" s="87"/>
      <c r="BD5" s="87"/>
      <c r="BE5" s="87"/>
      <c r="BF5" s="87"/>
      <c r="BG5" s="87"/>
      <c r="BH5" s="87"/>
      <c r="BI5" s="87"/>
      <c r="BJ5" s="87"/>
      <c r="BK5" s="87"/>
      <c r="BL5" s="87"/>
      <c r="BM5" s="87"/>
      <c r="BN5" s="87"/>
      <c r="BO5" s="87"/>
      <c r="BP5" s="87"/>
      <c r="BQ5" s="87"/>
      <c r="BR5" s="87"/>
      <c r="BS5" s="87"/>
      <c r="BT5" s="87"/>
      <c r="BU5" s="87"/>
      <c r="BV5" s="87"/>
    </row>
    <row r="6" spans="1:74" s="79" customFormat="1" ht="39" hidden="1" customHeight="1" x14ac:dyDescent="0.2">
      <c r="A6" s="232"/>
      <c r="B6" s="232"/>
      <c r="C6" s="232"/>
      <c r="D6" s="233"/>
      <c r="E6" s="233"/>
      <c r="F6" s="233"/>
      <c r="G6" s="233"/>
      <c r="H6" s="233"/>
      <c r="I6" s="233"/>
      <c r="J6" s="89"/>
      <c r="K6" s="89"/>
      <c r="L6" s="89"/>
      <c r="M6" s="89"/>
      <c r="N6" s="89"/>
      <c r="O6" s="89"/>
      <c r="P6" s="89"/>
      <c r="Q6" s="89"/>
      <c r="R6" s="89"/>
      <c r="S6" s="89"/>
      <c r="T6" s="89"/>
      <c r="U6" s="90"/>
      <c r="V6" s="87"/>
      <c r="W6" s="90"/>
      <c r="X6" s="85"/>
      <c r="Y6" s="85"/>
      <c r="Z6" s="86"/>
      <c r="AA6" s="85"/>
      <c r="AB6" s="85"/>
      <c r="AC6" s="85"/>
      <c r="AD6" s="87"/>
      <c r="AE6" s="88"/>
      <c r="AF6" s="88"/>
      <c r="AG6" s="88"/>
      <c r="AH6" s="88"/>
      <c r="AI6" s="88"/>
      <c r="AJ6" s="88"/>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row>
    <row r="7" spans="1:74" ht="6.75" customHeight="1" x14ac:dyDescent="0.2">
      <c r="A7" s="23"/>
      <c r="B7" s="23"/>
      <c r="C7" s="23"/>
      <c r="D7" s="23"/>
      <c r="E7" s="24"/>
      <c r="F7" s="24"/>
      <c r="G7" s="24"/>
      <c r="H7" s="24"/>
      <c r="I7" s="24"/>
      <c r="J7" s="24"/>
      <c r="K7" s="24"/>
      <c r="L7" s="24"/>
      <c r="M7" s="24"/>
      <c r="N7" s="24"/>
      <c r="O7" s="24"/>
      <c r="P7" s="24"/>
      <c r="Q7" s="24"/>
      <c r="R7" s="24"/>
      <c r="S7" s="24"/>
      <c r="T7" s="11"/>
      <c r="U7" s="10"/>
      <c r="V7" s="11"/>
      <c r="W7" s="20"/>
      <c r="X7" s="20"/>
      <c r="Y7" s="19"/>
      <c r="Z7" s="20"/>
      <c r="AA7" s="20"/>
      <c r="AB7" s="20"/>
      <c r="AC7" s="10"/>
      <c r="AD7" s="17"/>
      <c r="AE7" s="17"/>
      <c r="AF7" s="17"/>
      <c r="AG7" s="17"/>
      <c r="AH7" s="17"/>
      <c r="AI7" s="17"/>
      <c r="AJ7" s="10"/>
      <c r="AK7" s="10"/>
      <c r="AL7" s="10"/>
      <c r="AM7" s="10"/>
      <c r="AN7" s="10"/>
      <c r="AO7" s="10"/>
      <c r="AP7" s="10"/>
      <c r="AQ7" s="10"/>
      <c r="AR7" s="10"/>
      <c r="AS7" s="10"/>
      <c r="AT7" s="1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row>
    <row r="8" spans="1:74" ht="6.75" customHeight="1" thickBot="1" x14ac:dyDescent="0.25">
      <c r="A8" s="23"/>
      <c r="B8" s="23"/>
      <c r="C8" s="23"/>
      <c r="D8" s="23"/>
      <c r="E8" s="25"/>
      <c r="F8" s="25"/>
      <c r="G8" s="25"/>
      <c r="H8" s="25"/>
      <c r="I8" s="25"/>
      <c r="J8" s="25"/>
      <c r="K8" s="25"/>
      <c r="L8" s="25"/>
      <c r="M8" s="25"/>
      <c r="N8" s="25"/>
      <c r="O8" s="25"/>
      <c r="P8" s="25"/>
      <c r="Q8" s="25"/>
      <c r="R8" s="25"/>
      <c r="S8" s="25"/>
      <c r="T8" s="11"/>
      <c r="U8" s="10"/>
      <c r="V8" s="11"/>
      <c r="W8" s="20"/>
      <c r="X8" s="20"/>
      <c r="Y8" s="19"/>
      <c r="Z8" s="20"/>
      <c r="AA8" s="20"/>
      <c r="AB8" s="20"/>
      <c r="AC8" s="10"/>
      <c r="AD8" s="17"/>
      <c r="AE8" s="17"/>
      <c r="AF8" s="17"/>
      <c r="AG8" s="17"/>
      <c r="AH8" s="17"/>
      <c r="AI8" s="17"/>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row>
    <row r="9" spans="1:74" s="15" customFormat="1" ht="36" customHeight="1" thickTop="1" thickBot="1" x14ac:dyDescent="0.25">
      <c r="A9" s="236" t="s">
        <v>120</v>
      </c>
      <c r="B9" s="237"/>
      <c r="C9" s="237"/>
      <c r="D9" s="237"/>
      <c r="E9" s="237"/>
      <c r="F9" s="237"/>
      <c r="G9" s="237"/>
      <c r="H9" s="237"/>
      <c r="I9" s="237"/>
      <c r="J9" s="237"/>
      <c r="K9" s="237"/>
      <c r="L9" s="238"/>
      <c r="M9" s="202" t="s">
        <v>121</v>
      </c>
      <c r="N9" s="202"/>
      <c r="O9" s="202"/>
      <c r="P9" s="202"/>
      <c r="Q9" s="202"/>
      <c r="R9" s="202"/>
      <c r="S9" s="202"/>
      <c r="T9" s="202" t="s">
        <v>122</v>
      </c>
      <c r="U9" s="202"/>
      <c r="V9" s="202"/>
      <c r="W9" s="202"/>
      <c r="X9" s="202"/>
      <c r="Y9" s="202"/>
      <c r="Z9" s="202"/>
      <c r="AA9" s="202"/>
      <c r="AB9" s="202"/>
      <c r="AC9" s="202" t="s">
        <v>123</v>
      </c>
      <c r="AD9" s="202"/>
      <c r="AE9" s="202"/>
      <c r="AF9" s="202"/>
      <c r="AG9" s="202"/>
      <c r="AH9" s="202"/>
      <c r="AI9" s="202"/>
      <c r="AJ9" s="202" t="s">
        <v>32</v>
      </c>
      <c r="AK9" s="202"/>
      <c r="AL9" s="202"/>
      <c r="AM9" s="202"/>
      <c r="AN9" s="202"/>
      <c r="AO9" s="202"/>
      <c r="AP9" s="202" t="s">
        <v>197</v>
      </c>
    </row>
    <row r="10" spans="1:74" s="15" customFormat="1" ht="16.5" customHeight="1" thickTop="1" thickBot="1" x14ac:dyDescent="0.25">
      <c r="A10" s="208" t="s">
        <v>0</v>
      </c>
      <c r="B10" s="208" t="s">
        <v>141</v>
      </c>
      <c r="C10" s="198" t="s">
        <v>142</v>
      </c>
      <c r="D10" s="202" t="s">
        <v>1</v>
      </c>
      <c r="E10" s="201" t="s">
        <v>2</v>
      </c>
      <c r="F10" s="201" t="s">
        <v>38</v>
      </c>
      <c r="G10" s="201" t="s">
        <v>146</v>
      </c>
      <c r="H10" s="201" t="s">
        <v>144</v>
      </c>
      <c r="I10" s="202" t="s">
        <v>143</v>
      </c>
      <c r="J10" s="201" t="s">
        <v>44</v>
      </c>
      <c r="K10" s="201" t="s">
        <v>229</v>
      </c>
      <c r="L10" s="201" t="s">
        <v>116</v>
      </c>
      <c r="M10" s="201" t="s">
        <v>31</v>
      </c>
      <c r="N10" s="202" t="s">
        <v>4</v>
      </c>
      <c r="O10" s="201" t="s">
        <v>80</v>
      </c>
      <c r="P10" s="201" t="s">
        <v>85</v>
      </c>
      <c r="Q10" s="201" t="s">
        <v>39</v>
      </c>
      <c r="R10" s="202" t="s">
        <v>4</v>
      </c>
      <c r="S10" s="201" t="s">
        <v>42</v>
      </c>
      <c r="T10" s="198" t="s">
        <v>10</v>
      </c>
      <c r="U10" s="201" t="s">
        <v>140</v>
      </c>
      <c r="V10" s="201" t="s">
        <v>11</v>
      </c>
      <c r="W10" s="201" t="s">
        <v>7</v>
      </c>
      <c r="X10" s="201"/>
      <c r="Y10" s="201"/>
      <c r="Z10" s="201"/>
      <c r="AA10" s="201"/>
      <c r="AB10" s="201"/>
      <c r="AC10" s="198" t="s">
        <v>119</v>
      </c>
      <c r="AD10" s="198" t="s">
        <v>40</v>
      </c>
      <c r="AE10" s="198" t="s">
        <v>4</v>
      </c>
      <c r="AF10" s="198" t="s">
        <v>41</v>
      </c>
      <c r="AG10" s="198" t="s">
        <v>4</v>
      </c>
      <c r="AH10" s="198" t="s">
        <v>43</v>
      </c>
      <c r="AI10" s="198" t="s">
        <v>28</v>
      </c>
      <c r="AJ10" s="201" t="s">
        <v>32</v>
      </c>
      <c r="AK10" s="201" t="s">
        <v>33</v>
      </c>
      <c r="AL10" s="201" t="s">
        <v>34</v>
      </c>
      <c r="AM10" s="201" t="s">
        <v>36</v>
      </c>
      <c r="AN10" s="201" t="s">
        <v>35</v>
      </c>
      <c r="AO10" s="201" t="s">
        <v>37</v>
      </c>
      <c r="AP10" s="202"/>
    </row>
    <row r="11" spans="1:74" s="16" customFormat="1" ht="75.75" thickTop="1" thickBot="1" x14ac:dyDescent="0.3">
      <c r="A11" s="208"/>
      <c r="B11" s="208"/>
      <c r="C11" s="198"/>
      <c r="D11" s="202"/>
      <c r="E11" s="201"/>
      <c r="F11" s="201"/>
      <c r="G11" s="201"/>
      <c r="H11" s="201"/>
      <c r="I11" s="202"/>
      <c r="J11" s="201"/>
      <c r="K11" s="201"/>
      <c r="L11" s="201"/>
      <c r="M11" s="201"/>
      <c r="N11" s="202"/>
      <c r="O11" s="201"/>
      <c r="P11" s="201"/>
      <c r="Q11" s="202"/>
      <c r="R11" s="202"/>
      <c r="S11" s="201"/>
      <c r="T11" s="198"/>
      <c r="U11" s="201"/>
      <c r="V11" s="201"/>
      <c r="W11" s="77" t="s">
        <v>12</v>
      </c>
      <c r="X11" s="77" t="s">
        <v>16</v>
      </c>
      <c r="Y11" s="77" t="s">
        <v>27</v>
      </c>
      <c r="Z11" s="77" t="s">
        <v>17</v>
      </c>
      <c r="AA11" s="77" t="s">
        <v>20</v>
      </c>
      <c r="AB11" s="77" t="s">
        <v>23</v>
      </c>
      <c r="AC11" s="198"/>
      <c r="AD11" s="198"/>
      <c r="AE11" s="198"/>
      <c r="AF11" s="198"/>
      <c r="AG11" s="198"/>
      <c r="AH11" s="198"/>
      <c r="AI11" s="198"/>
      <c r="AJ11" s="201"/>
      <c r="AK11" s="201"/>
      <c r="AL11" s="201"/>
      <c r="AM11" s="201"/>
      <c r="AN11" s="201"/>
      <c r="AO11" s="201"/>
      <c r="AP11" s="202"/>
    </row>
    <row r="12" spans="1:74" s="12" customFormat="1" ht="100.5" thickTop="1" x14ac:dyDescent="0.25">
      <c r="A12" s="225">
        <v>1</v>
      </c>
      <c r="B12" s="219" t="s">
        <v>246</v>
      </c>
      <c r="C12" s="221" t="s">
        <v>273</v>
      </c>
      <c r="D12" s="184" t="s">
        <v>266</v>
      </c>
      <c r="E12" s="180" t="s">
        <v>274</v>
      </c>
      <c r="F12" s="180" t="s">
        <v>275</v>
      </c>
      <c r="G12" s="224" t="s">
        <v>276</v>
      </c>
      <c r="H12" s="196" t="s">
        <v>277</v>
      </c>
      <c r="I12" s="223" t="s">
        <v>278</v>
      </c>
      <c r="J12" s="218" t="s">
        <v>230</v>
      </c>
      <c r="K12" s="184" t="s">
        <v>227</v>
      </c>
      <c r="L12" s="186">
        <f>187*12</f>
        <v>2244</v>
      </c>
      <c r="M12" s="213" t="str">
        <f>IF(L12&lt;=0,"",IF(L12&lt;=2,"Muy Baja",IF(L12&lt;=24,"Baja",IF(L12&lt;=500,"Media",IF(L12&lt;=5000,"Alta","Muy Alta")))))</f>
        <v>Alta</v>
      </c>
      <c r="N12" s="210">
        <f>IF(M12="","",IF(M12="Muy Baja",0.2,IF(M12="Baja",0.4,IF(M12="Media",0.6,IF(M12="Alta",0.8,IF(M12="Muy Alta",1,))))))</f>
        <v>0.8</v>
      </c>
      <c r="O12" s="211" t="s">
        <v>131</v>
      </c>
      <c r="P12" s="212" t="str">
        <f>IF(NOT(ISERROR(MATCH(O12,'Tabla Impacto'!$B$221:$B$223,0))),'Tabla Impacto'!$F$223&amp;"Por favor no seleccionar los criterios de impacto(Afectación Económica o presupuestal y Pérdida Reputacional)",O12)</f>
        <v xml:space="preserve">     Mayor a 500 SMLMV </v>
      </c>
      <c r="Q12" s="213" t="str">
        <f>IF(OR(P12='Tabla Impacto'!$C$11,P12='Tabla Impacto'!$D$11),"Leve",IF(OR(P12='Tabla Impacto'!$C$12,P12='Tabla Impacto'!$D$12),"Menor",IF(OR(P12='Tabla Impacto'!$C$13,P12='Tabla Impacto'!$D$13),"Moderado",IF(OR(P12='Tabla Impacto'!$C$14,P12='Tabla Impacto'!$D$14),"Mayor",IF(OR(P12='Tabla Impacto'!$C$15,P12='Tabla Impacto'!$D$15),"Catastrófico","")))))</f>
        <v>Catastrófico</v>
      </c>
      <c r="R12" s="210">
        <f>IF(Q12="","",IF(Q12="Leve",0.2,IF(Q12="Menor",0.4,IF(Q12="Moderado",0.6,IF(Q12="Mayor",0.8,IF(Q12="Catastrófico",1,))))))</f>
        <v>1</v>
      </c>
      <c r="S12" s="209" t="str">
        <f>IF(OR(AND(M12="Muy Baja",Q12="Leve"),AND(M12="Muy Baja",Q12="Menor"),AND(M12="Baja",Q12="Leve")),"Bajo",IF(OR(AND(M12="Muy baja",Q12="Moderado"),AND(M12="Baja",Q12="Menor"),AND(M12="Baja",Q12="Moderado"),AND(M12="Media",Q12="Leve"),AND(M12="Media",Q12="Menor"),AND(M12="Media",Q12="Moderado"),AND(M12="Alta",Q12="Leve"),AND(M12="Alta",Q12="Menor")),"Moderado",IF(OR(AND(M12="Muy Baja",Q12="Mayor"),AND(M12="Baja",Q12="Mayor"),AND(M12="Media",Q12="Mayor"),AND(M12="Alta",Q12="Moderado"),AND(M12="Alta",Q12="Mayor"),AND(M12="Muy Alta",Q12="Leve"),AND(M12="Muy Alta",Q12="Menor"),AND(M12="Muy Alta",Q12="Moderado"),AND(M12="Muy Alta",Q12="Mayor")),"Alto",IF(OR(AND(M12="Muy Baja",Q12="Catastrófico"),AND(M12="Baja",Q12="Catastrófico"),AND(M12="Media",Q12="Catastrófico"),AND(M12="Alta",Q12="Catastrófico"),AND(M12="Muy Alta",Q12="Catastrófico")),"Extremo",""))))</f>
        <v>Extremo</v>
      </c>
      <c r="T12" s="142">
        <v>1</v>
      </c>
      <c r="U12" s="143" t="s">
        <v>279</v>
      </c>
      <c r="V12" s="144" t="str">
        <f>IF(OR(W12="Preventivo",W12="Detectivo"),"Probabilidad",IF(W12="Correctivo","Impacto",""))</f>
        <v>Probabilidad</v>
      </c>
      <c r="W12" s="145" t="s">
        <v>13</v>
      </c>
      <c r="X12" s="145" t="s">
        <v>8</v>
      </c>
      <c r="Y12" s="146" t="str">
        <f>IF(AND(W12="Preventivo",X12="Automático"),"50%",IF(AND(W12="Preventivo",X12="Manual"),"40%",IF(AND(W12="Detectivo",X12="Automático"),"40%",IF(AND(W12="Detectivo",X12="Manual"),"30%",IF(AND(W12="Correctivo",X12="Automático"),"35%",IF(AND(W12="Correctivo",X12="Manual"),"25%",""))))))</f>
        <v>40%</v>
      </c>
      <c r="Z12" s="145" t="s">
        <v>18</v>
      </c>
      <c r="AA12" s="145" t="s">
        <v>21</v>
      </c>
      <c r="AB12" s="145" t="s">
        <v>112</v>
      </c>
      <c r="AC12" s="147">
        <f>IFERROR(IF(V12="Probabilidad",(N12-(+N12*Y12)),IF(V12="Impacto",N12,"")),"")</f>
        <v>0.48</v>
      </c>
      <c r="AD12" s="148" t="str">
        <f>IFERROR(IF(AC12="","",IF(AC12&lt;=0.2,"Muy Baja",IF(AC12&lt;=0.4,"Baja",IF(AC12&lt;=0.6,"Media",IF(AC12&lt;=0.8,"Alta","Muy Alta"))))),"")</f>
        <v>Media</v>
      </c>
      <c r="AE12" s="149">
        <f>+AC12</f>
        <v>0.48</v>
      </c>
      <c r="AF12" s="148" t="str">
        <f>IFERROR(IF(AG12="","",IF(AG12&lt;=0.2,"Leve",IF(AG12&lt;=0.4,"Menor",IF(AG12&lt;=0.6,"Moderado",IF(AG12&lt;=0.8,"Mayor","Catastrófico"))))),"")</f>
        <v>Catastrófico</v>
      </c>
      <c r="AG12" s="149">
        <f>IFERROR(IF(V12="Impacto",(R12-(+R12*Y12)),IF(V12="Probabilidad",R12,"")),"")</f>
        <v>1</v>
      </c>
      <c r="AH12" s="150" t="str">
        <f>IFERROR(IF(OR(AND(AD12="Muy Baja",AF12="Leve"),AND(AD12="Muy Baja",AF12="Menor"),AND(AD12="Baja",AF12="Leve")),"Bajo",IF(OR(AND(AD12="Muy baja",AF12="Moderado"),AND(AD12="Baja",AF12="Menor"),AND(AD12="Baja",AF12="Moderado"),AND(AD12="Media",AF12="Leve"),AND(AD12="Media",AF12="Menor"),AND(AD12="Media",AF12="Moderado"),AND(AD12="Alta",AF12="Leve"),AND(AD12="Alta",AF12="Menor")),"Moderado",IF(OR(AND(AD12="Muy Baja",AF12="Mayor"),AND(AD12="Baja",AF12="Mayor"),AND(AD12="Media",AF12="Mayor"),AND(AD12="Alta",AF12="Moderado"),AND(AD12="Alta",AF12="Mayor"),AND(AD12="Muy Alta",AF12="Leve"),AND(AD12="Muy Alta",AF12="Menor"),AND(AD12="Muy Alta",AF12="Moderado"),AND(AD12="Muy Alta",AF12="Mayor")),"Alto",IF(OR(AND(AD12="Muy Baja",AF12="Catastrófico"),AND(AD12="Baja",AF12="Catastrófico"),AND(AD12="Media",AF12="Catastrófico"),AND(AD12="Alta",AF12="Catastrófico"),AND(AD12="Muy Alta",AF12="Catastrófico")),"Extremo","")))),"")</f>
        <v>Extremo</v>
      </c>
      <c r="AI12" s="151" t="s">
        <v>117</v>
      </c>
      <c r="AJ12" s="196" t="s">
        <v>283</v>
      </c>
      <c r="AK12" s="186" t="s">
        <v>193</v>
      </c>
      <c r="AL12" s="188">
        <v>45293</v>
      </c>
      <c r="AM12" s="194">
        <v>45653</v>
      </c>
      <c r="AN12" s="184" t="s">
        <v>284</v>
      </c>
      <c r="AO12" s="190" t="s">
        <v>269</v>
      </c>
      <c r="AP12" s="196" t="s">
        <v>285</v>
      </c>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row>
    <row r="13" spans="1:74" ht="87.75" customHeight="1" x14ac:dyDescent="0.2">
      <c r="A13" s="214"/>
      <c r="B13" s="220"/>
      <c r="C13" s="222"/>
      <c r="D13" s="183"/>
      <c r="E13" s="181"/>
      <c r="F13" s="181"/>
      <c r="G13" s="215"/>
      <c r="H13" s="197"/>
      <c r="I13" s="216"/>
      <c r="J13" s="217"/>
      <c r="K13" s="183"/>
      <c r="L13" s="185"/>
      <c r="M13" s="205"/>
      <c r="N13" s="206"/>
      <c r="O13" s="203"/>
      <c r="P13" s="204">
        <f>IF(NOT(ISERROR(MATCH(O13,_xlfn.ANCHORARRAY(I24),0))),N26&amp;"Por favor no seleccionar los criterios de impacto",O13)</f>
        <v>0</v>
      </c>
      <c r="Q13" s="205"/>
      <c r="R13" s="206"/>
      <c r="S13" s="207"/>
      <c r="T13" s="152">
        <v>2</v>
      </c>
      <c r="U13" s="143" t="s">
        <v>825</v>
      </c>
      <c r="V13" s="153" t="str">
        <f>IF(OR(W13="Preventivo",W13="Detectivo"),"Probabilidad",IF(W13="Correctivo","Impacto",""))</f>
        <v>Probabilidad</v>
      </c>
      <c r="W13" s="154" t="s">
        <v>14</v>
      </c>
      <c r="X13" s="154" t="s">
        <v>8</v>
      </c>
      <c r="Y13" s="155" t="str">
        <f t="shared" ref="Y13:Y17" si="0">IF(AND(W13="Preventivo",X13="Automático"),"50%",IF(AND(W13="Preventivo",X13="Manual"),"40%",IF(AND(W13="Detectivo",X13="Automático"),"40%",IF(AND(W13="Detectivo",X13="Manual"),"30%",IF(AND(W13="Correctivo",X13="Automático"),"35%",IF(AND(W13="Correctivo",X13="Manual"),"25%",""))))))</f>
        <v>30%</v>
      </c>
      <c r="Z13" s="145" t="s">
        <v>18</v>
      </c>
      <c r="AA13" s="145" t="s">
        <v>21</v>
      </c>
      <c r="AB13" s="145" t="s">
        <v>112</v>
      </c>
      <c r="AC13" s="156">
        <f>IFERROR(IF(AND(V12="Probabilidad",V13="Probabilidad"),(AE12-(+AE12*Y13)),IF(V13="Probabilidad",(N12-(+N12*Y13)),IF(V13="Impacto",AE12,""))),"")</f>
        <v>0.33599999999999997</v>
      </c>
      <c r="AD13" s="157" t="str">
        <f t="shared" ref="AD13:AD70" si="1">IFERROR(IF(AC13="","",IF(AC13&lt;=0.2,"Muy Baja",IF(AC13&lt;=0.4,"Baja",IF(AC13&lt;=0.6,"Media",IF(AC13&lt;=0.8,"Alta","Muy Alta"))))),"")</f>
        <v>Baja</v>
      </c>
      <c r="AE13" s="158">
        <f t="shared" ref="AE13:AE17" si="2">+AC13</f>
        <v>0.33599999999999997</v>
      </c>
      <c r="AF13" s="157" t="str">
        <f t="shared" ref="AF13:AF70" si="3">IFERROR(IF(AG13="","",IF(AG13&lt;=0.2,"Leve",IF(AG13&lt;=0.4,"Menor",IF(AG13&lt;=0.6,"Moderado",IF(AG13&lt;=0.8,"Mayor","Catastrófico"))))),"")</f>
        <v>Catastrófico</v>
      </c>
      <c r="AG13" s="158">
        <f>IFERROR(IF(AND(V12="Impacto",V13="Impacto"),(AG12-(+AG12*Y13)),IF(V13="Impacto",(R12-(+R12*Y13)),IF(V13="Probabilidad",AG12,""))),"")</f>
        <v>1</v>
      </c>
      <c r="AH13" s="159" t="str">
        <f t="shared" ref="AH13:AH17" si="4">IFERROR(IF(OR(AND(AD13="Muy Baja",AF13="Leve"),AND(AD13="Muy Baja",AF13="Menor"),AND(AD13="Baja",AF13="Leve")),"Bajo",IF(OR(AND(AD13="Muy baja",AF13="Moderado"),AND(AD13="Baja",AF13="Menor"),AND(AD13="Baja",AF13="Moderado"),AND(AD13="Media",AF13="Leve"),AND(AD13="Media",AF13="Menor"),AND(AD13="Media",AF13="Moderado"),AND(AD13="Alta",AF13="Leve"),AND(AD13="Alta",AF13="Menor")),"Moderado",IF(OR(AND(AD13="Muy Baja",AF13="Mayor"),AND(AD13="Baja",AF13="Mayor"),AND(AD13="Media",AF13="Mayor"),AND(AD13="Alta",AF13="Moderado"),AND(AD13="Alta",AF13="Mayor"),AND(AD13="Muy Alta",AF13="Leve"),AND(AD13="Muy Alta",AF13="Menor"),AND(AD13="Muy Alta",AF13="Moderado"),AND(AD13="Muy Alta",AF13="Mayor")),"Alto",IF(OR(AND(AD13="Muy Baja",AF13="Catastrófico"),AND(AD13="Baja",AF13="Catastrófico"),AND(AD13="Media",AF13="Catastrófico"),AND(AD13="Alta",AF13="Catastrófico"),AND(AD13="Muy Alta",AF13="Catastrófico")),"Extremo","")))),"")</f>
        <v>Extremo</v>
      </c>
      <c r="AI13" s="151" t="s">
        <v>117</v>
      </c>
      <c r="AJ13" s="197"/>
      <c r="AK13" s="185"/>
      <c r="AL13" s="187"/>
      <c r="AM13" s="195"/>
      <c r="AN13" s="183"/>
      <c r="AO13" s="190"/>
      <c r="AP13" s="197"/>
      <c r="AQ13" s="10"/>
      <c r="AR13" s="10"/>
      <c r="AS13" s="10"/>
      <c r="AT13" s="10"/>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row>
    <row r="14" spans="1:74" ht="105.75" customHeight="1" x14ac:dyDescent="0.2">
      <c r="A14" s="214"/>
      <c r="B14" s="220"/>
      <c r="C14" s="222"/>
      <c r="D14" s="183"/>
      <c r="E14" s="181"/>
      <c r="F14" s="181"/>
      <c r="G14" s="215"/>
      <c r="H14" s="197"/>
      <c r="I14" s="216"/>
      <c r="J14" s="217"/>
      <c r="K14" s="183"/>
      <c r="L14" s="185"/>
      <c r="M14" s="205"/>
      <c r="N14" s="206"/>
      <c r="O14" s="203"/>
      <c r="P14" s="204">
        <f>IF(NOT(ISERROR(MATCH(O14,_xlfn.ANCHORARRAY(I25),0))),N27&amp;"Por favor no seleccionar los criterios de impacto",O14)</f>
        <v>0</v>
      </c>
      <c r="Q14" s="205"/>
      <c r="R14" s="206"/>
      <c r="S14" s="207"/>
      <c r="T14" s="152">
        <v>3</v>
      </c>
      <c r="U14" s="143" t="s">
        <v>280</v>
      </c>
      <c r="V14" s="153" t="str">
        <f>IF(OR(W14="Preventivo",W14="Detectivo"),"Probabilidad",IF(W14="Correctivo","Impacto",""))</f>
        <v>Probabilidad</v>
      </c>
      <c r="W14" s="154" t="s">
        <v>14</v>
      </c>
      <c r="X14" s="154" t="s">
        <v>8</v>
      </c>
      <c r="Y14" s="155" t="str">
        <f t="shared" si="0"/>
        <v>30%</v>
      </c>
      <c r="Z14" s="145" t="s">
        <v>18</v>
      </c>
      <c r="AA14" s="145" t="s">
        <v>21</v>
      </c>
      <c r="AB14" s="145" t="s">
        <v>112</v>
      </c>
      <c r="AC14" s="156">
        <f>IFERROR(IF(AND(V13="Probabilidad",V14="Probabilidad"),(AE13-(+AE13*Y14)),IF(AND(V13="Impacto",V14="Probabilidad"),(AE12-(+AE12*Y14)),IF(V14="Impacto",AE13,""))),"")</f>
        <v>0.23519999999999996</v>
      </c>
      <c r="AD14" s="157" t="str">
        <f t="shared" si="1"/>
        <v>Baja</v>
      </c>
      <c r="AE14" s="158">
        <f t="shared" si="2"/>
        <v>0.23519999999999996</v>
      </c>
      <c r="AF14" s="157" t="str">
        <f t="shared" si="3"/>
        <v>Catastrófico</v>
      </c>
      <c r="AG14" s="158">
        <f>IFERROR(IF(AND(V13="Impacto",V14="Impacto"),(AG13-(+AG13*Y14)),IF(AND(V13="Probabilidad",V14="Impacto"),(AG12-(+AG12*Y14)),IF(V14="Probabilidad",AG13,""))),"")</f>
        <v>1</v>
      </c>
      <c r="AH14" s="159" t="str">
        <f t="shared" si="4"/>
        <v>Extremo</v>
      </c>
      <c r="AI14" s="151" t="s">
        <v>117</v>
      </c>
      <c r="AJ14" s="197"/>
      <c r="AK14" s="185"/>
      <c r="AL14" s="187"/>
      <c r="AM14" s="195"/>
      <c r="AN14" s="183"/>
      <c r="AO14" s="190"/>
      <c r="AP14" s="197"/>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row>
    <row r="15" spans="1:74" ht="111.75" customHeight="1" x14ac:dyDescent="0.2">
      <c r="A15" s="214"/>
      <c r="B15" s="220"/>
      <c r="C15" s="222"/>
      <c r="D15" s="183"/>
      <c r="E15" s="181"/>
      <c r="F15" s="181"/>
      <c r="G15" s="215"/>
      <c r="H15" s="197"/>
      <c r="I15" s="216"/>
      <c r="J15" s="217"/>
      <c r="K15" s="183"/>
      <c r="L15" s="185"/>
      <c r="M15" s="205"/>
      <c r="N15" s="206"/>
      <c r="O15" s="203"/>
      <c r="P15" s="204">
        <f>IF(NOT(ISERROR(MATCH(O15,_xlfn.ANCHORARRAY(I26),0))),N28&amp;"Por favor no seleccionar los criterios de impacto",O15)</f>
        <v>0</v>
      </c>
      <c r="Q15" s="205"/>
      <c r="R15" s="206"/>
      <c r="S15" s="207"/>
      <c r="T15" s="152">
        <v>4</v>
      </c>
      <c r="U15" s="143" t="s">
        <v>281</v>
      </c>
      <c r="V15" s="153" t="str">
        <f t="shared" ref="V15:V17" si="5">IF(OR(W15="Preventivo",W15="Detectivo"),"Probabilidad",IF(W15="Correctivo","Impacto",""))</f>
        <v>Probabilidad</v>
      </c>
      <c r="W15" s="154" t="s">
        <v>14</v>
      </c>
      <c r="X15" s="154" t="s">
        <v>8</v>
      </c>
      <c r="Y15" s="155" t="str">
        <f t="shared" si="0"/>
        <v>30%</v>
      </c>
      <c r="Z15" s="145" t="s">
        <v>18</v>
      </c>
      <c r="AA15" s="145" t="s">
        <v>21</v>
      </c>
      <c r="AB15" s="145" t="s">
        <v>112</v>
      </c>
      <c r="AC15" s="156">
        <f t="shared" ref="AC15:AC17" si="6">IFERROR(IF(AND(V14="Probabilidad",V15="Probabilidad"),(AE14-(+AE14*Y15)),IF(AND(V14="Impacto",V15="Probabilidad"),(AE13-(+AE13*Y15)),IF(V15="Impacto",AE14,""))),"")</f>
        <v>0.16463999999999998</v>
      </c>
      <c r="AD15" s="157" t="str">
        <f t="shared" si="1"/>
        <v>Muy Baja</v>
      </c>
      <c r="AE15" s="158">
        <f t="shared" si="2"/>
        <v>0.16463999999999998</v>
      </c>
      <c r="AF15" s="157" t="str">
        <f t="shared" si="3"/>
        <v>Catastrófico</v>
      </c>
      <c r="AG15" s="158">
        <f t="shared" ref="AG15:AG17" si="7">IFERROR(IF(AND(V14="Impacto",V15="Impacto"),(AG14-(+AG14*Y15)),IF(AND(V14="Probabilidad",V15="Impacto"),(AG13-(+AG13*Y15)),IF(V15="Probabilidad",AG14,""))),"")</f>
        <v>1</v>
      </c>
      <c r="AH15" s="159" t="str">
        <f>IFERROR(IF(OR(AND(AD15="Muy Baja",AF15="Leve"),AND(AD15="Muy Baja",AF15="Menor"),AND(AD15="Baja",AF15="Leve")),"Bajo",IF(OR(AND(AD15="Muy baja",AF15="Moderado"),AND(AD15="Baja",AF15="Menor"),AND(AD15="Baja",AF15="Moderado"),AND(AD15="Media",AF15="Leve"),AND(AD15="Media",AF15="Menor"),AND(AD15="Media",AF15="Moderado"),AND(AD15="Alta",AF15="Leve"),AND(AD15="Alta",AF15="Menor")),"Moderado",IF(OR(AND(AD15="Muy Baja",AF15="Mayor"),AND(AD15="Baja",AF15="Mayor"),AND(AD15="Media",AF15="Mayor"),AND(AD15="Alta",AF15="Moderado"),AND(AD15="Alta",AF15="Mayor"),AND(AD15="Muy Alta",AF15="Leve"),AND(AD15="Muy Alta",AF15="Menor"),AND(AD15="Muy Alta",AF15="Moderado"),AND(AD15="Muy Alta",AF15="Mayor")),"Alto",IF(OR(AND(AD15="Muy Baja",AF15="Catastrófico"),AND(AD15="Baja",AF15="Catastrófico"),AND(AD15="Media",AF15="Catastrófico"),AND(AD15="Alta",AF15="Catastrófico"),AND(AD15="Muy Alta",AF15="Catastrófico")),"Extremo","")))),"")</f>
        <v>Extremo</v>
      </c>
      <c r="AI15" s="151" t="s">
        <v>117</v>
      </c>
      <c r="AJ15" s="197"/>
      <c r="AK15" s="185"/>
      <c r="AL15" s="187"/>
      <c r="AM15" s="195"/>
      <c r="AN15" s="183"/>
      <c r="AO15" s="190"/>
      <c r="AP15" s="197"/>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row>
    <row r="16" spans="1:74" ht="92.25" customHeight="1" x14ac:dyDescent="0.2">
      <c r="A16" s="214"/>
      <c r="B16" s="220"/>
      <c r="C16" s="222"/>
      <c r="D16" s="183"/>
      <c r="E16" s="181"/>
      <c r="F16" s="181"/>
      <c r="G16" s="215"/>
      <c r="H16" s="197"/>
      <c r="I16" s="216"/>
      <c r="J16" s="217"/>
      <c r="K16" s="183"/>
      <c r="L16" s="185"/>
      <c r="M16" s="205"/>
      <c r="N16" s="206"/>
      <c r="O16" s="203"/>
      <c r="P16" s="204">
        <f>IF(NOT(ISERROR(MATCH(O16,_xlfn.ANCHORARRAY(I27),0))),N29&amp;"Por favor no seleccionar los criterios de impacto",O16)</f>
        <v>0</v>
      </c>
      <c r="Q16" s="205"/>
      <c r="R16" s="206"/>
      <c r="S16" s="207"/>
      <c r="T16" s="152">
        <v>5</v>
      </c>
      <c r="U16" s="143" t="s">
        <v>282</v>
      </c>
      <c r="V16" s="153" t="str">
        <f t="shared" si="5"/>
        <v>Probabilidad</v>
      </c>
      <c r="W16" s="154" t="s">
        <v>14</v>
      </c>
      <c r="X16" s="154" t="s">
        <v>8</v>
      </c>
      <c r="Y16" s="155" t="str">
        <f t="shared" si="0"/>
        <v>30%</v>
      </c>
      <c r="Z16" s="145" t="s">
        <v>18</v>
      </c>
      <c r="AA16" s="145" t="s">
        <v>21</v>
      </c>
      <c r="AB16" s="145" t="s">
        <v>112</v>
      </c>
      <c r="AC16" s="156">
        <f t="shared" si="6"/>
        <v>0.11524799999999999</v>
      </c>
      <c r="AD16" s="157" t="str">
        <f t="shared" si="1"/>
        <v>Muy Baja</v>
      </c>
      <c r="AE16" s="158">
        <f t="shared" si="2"/>
        <v>0.11524799999999999</v>
      </c>
      <c r="AF16" s="157" t="str">
        <f t="shared" si="3"/>
        <v>Catastrófico</v>
      </c>
      <c r="AG16" s="158">
        <f t="shared" si="7"/>
        <v>1</v>
      </c>
      <c r="AH16" s="159" t="str">
        <f t="shared" si="4"/>
        <v>Extremo</v>
      </c>
      <c r="AI16" s="151" t="s">
        <v>117</v>
      </c>
      <c r="AJ16" s="197"/>
      <c r="AK16" s="185"/>
      <c r="AL16" s="187"/>
      <c r="AM16" s="195"/>
      <c r="AN16" s="183"/>
      <c r="AO16" s="190"/>
      <c r="AP16" s="197"/>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row>
    <row r="17" spans="1:73" ht="13.5" customHeight="1" x14ac:dyDescent="0.2">
      <c r="A17" s="214"/>
      <c r="B17" s="220"/>
      <c r="C17" s="222"/>
      <c r="D17" s="183"/>
      <c r="E17" s="181"/>
      <c r="F17" s="181"/>
      <c r="G17" s="215"/>
      <c r="H17" s="197"/>
      <c r="I17" s="216"/>
      <c r="J17" s="217"/>
      <c r="K17" s="183"/>
      <c r="L17" s="185"/>
      <c r="M17" s="205"/>
      <c r="N17" s="206"/>
      <c r="O17" s="203"/>
      <c r="P17" s="204">
        <f>IF(NOT(ISERROR(MATCH(O17,_xlfn.ANCHORARRAY(I28),0))),N30&amp;"Por favor no seleccionar los criterios de impacto",O17)</f>
        <v>0</v>
      </c>
      <c r="Q17" s="205"/>
      <c r="R17" s="206"/>
      <c r="S17" s="207"/>
      <c r="T17" s="152">
        <v>6</v>
      </c>
      <c r="U17" s="160"/>
      <c r="V17" s="153" t="str">
        <f t="shared" si="5"/>
        <v/>
      </c>
      <c r="W17" s="154"/>
      <c r="X17" s="154"/>
      <c r="Y17" s="155" t="str">
        <f t="shared" si="0"/>
        <v/>
      </c>
      <c r="Z17" s="154"/>
      <c r="AA17" s="154"/>
      <c r="AB17" s="154"/>
      <c r="AC17" s="156" t="str">
        <f t="shared" si="6"/>
        <v/>
      </c>
      <c r="AD17" s="157" t="str">
        <f t="shared" si="1"/>
        <v/>
      </c>
      <c r="AE17" s="158" t="str">
        <f t="shared" si="2"/>
        <v/>
      </c>
      <c r="AF17" s="157" t="str">
        <f t="shared" si="3"/>
        <v/>
      </c>
      <c r="AG17" s="158" t="str">
        <f t="shared" si="7"/>
        <v/>
      </c>
      <c r="AH17" s="159" t="str">
        <f t="shared" si="4"/>
        <v/>
      </c>
      <c r="AI17" s="161"/>
      <c r="AJ17" s="197"/>
      <c r="AK17" s="185"/>
      <c r="AL17" s="187"/>
      <c r="AM17" s="195"/>
      <c r="AN17" s="183"/>
      <c r="AO17" s="191"/>
      <c r="AP17" s="197"/>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row>
    <row r="18" spans="1:73" ht="193.5" customHeight="1" x14ac:dyDescent="0.2">
      <c r="A18" s="214">
        <v>2</v>
      </c>
      <c r="B18" s="219" t="s">
        <v>246</v>
      </c>
      <c r="C18" s="221" t="s">
        <v>273</v>
      </c>
      <c r="D18" s="184" t="s">
        <v>268</v>
      </c>
      <c r="E18" s="181" t="s">
        <v>286</v>
      </c>
      <c r="F18" s="181" t="s">
        <v>287</v>
      </c>
      <c r="G18" s="215" t="s">
        <v>288</v>
      </c>
      <c r="H18" s="197" t="s">
        <v>289</v>
      </c>
      <c r="I18" s="216" t="s">
        <v>290</v>
      </c>
      <c r="J18" s="217" t="s">
        <v>230</v>
      </c>
      <c r="K18" s="183" t="s">
        <v>227</v>
      </c>
      <c r="L18" s="185">
        <f>190*12</f>
        <v>2280</v>
      </c>
      <c r="M18" s="205" t="str">
        <f>IF(L18&lt;=0,"",IF(L18&lt;=2,"Muy Baja",IF(L18&lt;=24,"Baja",IF(L18&lt;=500,"Media",IF(L18&lt;=5000,"Alta","Muy Alta")))))</f>
        <v>Alta</v>
      </c>
      <c r="N18" s="206">
        <f>IF(M18="","",IF(M18="Muy Baja",0.2,IF(M18="Baja",0.4,IF(M18="Media",0.6,IF(M18="Alta",0.8,IF(M18="Muy Alta",1,))))))</f>
        <v>0.8</v>
      </c>
      <c r="O18" s="203" t="s">
        <v>136</v>
      </c>
      <c r="P18" s="204" t="str">
        <f>IF(NOT(ISERROR(MATCH(O18,'Tabla Impacto'!$B$221:$B$223,0))),'Tabla Impacto'!$F$223&amp;"Por favor no seleccionar los criterios de impacto(Afectación Económica o presupuestal y Pérdida Reputacional)",O18)</f>
        <v xml:space="preserve">     El riesgo afecta la imagen de la entidad a nivel nacional, con efecto publicitarios sostenible a nivel país</v>
      </c>
      <c r="Q18" s="205" t="str">
        <f>IF(OR(P18='Tabla Impacto'!$C$11,P18='Tabla Impacto'!$D$11),"Leve",IF(OR(P18='Tabla Impacto'!$C$12,P18='Tabla Impacto'!$D$12),"Menor",IF(OR(P18='Tabla Impacto'!$C$13,P18='Tabla Impacto'!$D$13),"Moderado",IF(OR(P18='Tabla Impacto'!$C$14,P18='Tabla Impacto'!$D$14),"Mayor",IF(OR(P18='Tabla Impacto'!$C$15,P18='Tabla Impacto'!$D$15),"Catastrófico","")))))</f>
        <v>Catastrófico</v>
      </c>
      <c r="R18" s="206">
        <f>IF(Q18="","",IF(Q18="Leve",0.2,IF(Q18="Menor",0.4,IF(Q18="Moderado",0.6,IF(Q18="Mayor",0.8,IF(Q18="Catastrófico",1,))))))</f>
        <v>1</v>
      </c>
      <c r="S18" s="207" t="str">
        <f>IF(OR(AND(M18="Muy Baja",Q18="Leve"),AND(M18="Muy Baja",Q18="Menor"),AND(M18="Baja",Q18="Leve")),"Bajo",IF(OR(AND(M18="Muy baja",Q18="Moderado"),AND(M18="Baja",Q18="Menor"),AND(M18="Baja",Q18="Moderado"),AND(M18="Media",Q18="Leve"),AND(M18="Media",Q18="Menor"),AND(M18="Media",Q18="Moderado"),AND(M18="Alta",Q18="Leve"),AND(M18="Alta",Q18="Menor")),"Moderado",IF(OR(AND(M18="Muy Baja",Q18="Mayor"),AND(M18="Baja",Q18="Mayor"),AND(M18="Media",Q18="Mayor"),AND(M18="Alta",Q18="Moderado"),AND(M18="Alta",Q18="Mayor"),AND(M18="Muy Alta",Q18="Leve"),AND(M18="Muy Alta",Q18="Menor"),AND(M18="Muy Alta",Q18="Moderado"),AND(M18="Muy Alta",Q18="Mayor")),"Alto",IF(OR(AND(M18="Muy Baja",Q18="Catastrófico"),AND(M18="Baja",Q18="Catastrófico"),AND(M18="Media",Q18="Catastrófico"),AND(M18="Alta",Q18="Catastrófico"),AND(M18="Muy Alta",Q18="Catastrófico")),"Extremo",""))))</f>
        <v>Extremo</v>
      </c>
      <c r="T18" s="152">
        <v>1</v>
      </c>
      <c r="U18" s="143" t="s">
        <v>296</v>
      </c>
      <c r="V18" s="153" t="str">
        <f>IF(OR(W18="Preventivo",W18="Detectivo"),"Probabilidad",IF(W18="Correctivo","Impacto",""))</f>
        <v>Probabilidad</v>
      </c>
      <c r="W18" s="154" t="s">
        <v>13</v>
      </c>
      <c r="X18" s="154" t="s">
        <v>8</v>
      </c>
      <c r="Y18" s="155" t="str">
        <f>IF(AND(W18="Preventivo",X18="Automático"),"50%",IF(AND(W18="Preventivo",X18="Manual"),"40%",IF(AND(W18="Detectivo",X18="Automático"),"40%",IF(AND(W18="Detectivo",X18="Manual"),"30%",IF(AND(W18="Correctivo",X18="Automático"),"35%",IF(AND(W18="Correctivo",X18="Manual"),"25%",""))))))</f>
        <v>40%</v>
      </c>
      <c r="Z18" s="154" t="s">
        <v>18</v>
      </c>
      <c r="AA18" s="154" t="s">
        <v>21</v>
      </c>
      <c r="AB18" s="154" t="s">
        <v>112</v>
      </c>
      <c r="AC18" s="156">
        <f>IFERROR(IF(V18="Probabilidad",(N18-(+N18*Y18)),IF(V18="Impacto",N18,"")),"")</f>
        <v>0.48</v>
      </c>
      <c r="AD18" s="157" t="str">
        <f>IFERROR(IF(AC18="","",IF(AC18&lt;=0.2,"Muy Baja",IF(AC18&lt;=0.4,"Baja",IF(AC18&lt;=0.6,"Media",IF(AC18&lt;=0.8,"Alta","Muy Alta"))))),"")</f>
        <v>Media</v>
      </c>
      <c r="AE18" s="158">
        <f>+AC18</f>
        <v>0.48</v>
      </c>
      <c r="AF18" s="157" t="str">
        <f>IFERROR(IF(AG18="","",IF(AG18&lt;=0.2,"Leve",IF(AG18&lt;=0.4,"Menor",IF(AG18&lt;=0.6,"Moderado",IF(AG18&lt;=0.8,"Mayor","Catastrófico"))))),"")</f>
        <v>Catastrófico</v>
      </c>
      <c r="AG18" s="158">
        <f>IFERROR(IF(V18="Impacto",(R18-(+R18*Y18)),IF(V18="Probabilidad",R18,"")),"")</f>
        <v>1</v>
      </c>
      <c r="AH18" s="159" t="str">
        <f>IFERROR(IF(OR(AND(AD18="Muy Baja",AF18="Leve"),AND(AD18="Muy Baja",AF18="Menor"),AND(AD18="Baja",AF18="Leve")),"Bajo",IF(OR(AND(AD18="Muy baja",AF18="Moderado"),AND(AD18="Baja",AF18="Menor"),AND(AD18="Baja",AF18="Moderado"),AND(AD18="Media",AF18="Leve"),AND(AD18="Media",AF18="Menor"),AND(AD18="Media",AF18="Moderado"),AND(AD18="Alta",AF18="Leve"),AND(AD18="Alta",AF18="Menor")),"Moderado",IF(OR(AND(AD18="Muy Baja",AF18="Mayor"),AND(AD18="Baja",AF18="Mayor"),AND(AD18="Media",AF18="Mayor"),AND(AD18="Alta",AF18="Moderado"),AND(AD18="Alta",AF18="Mayor"),AND(AD18="Muy Alta",AF18="Leve"),AND(AD18="Muy Alta",AF18="Menor"),AND(AD18="Muy Alta",AF18="Moderado"),AND(AD18="Muy Alta",AF18="Mayor")),"Alto",IF(OR(AND(AD18="Muy Baja",AF18="Catastrófico"),AND(AD18="Baja",AF18="Catastrófico"),AND(AD18="Media",AF18="Catastrófico"),AND(AD18="Alta",AF18="Catastrófico"),AND(AD18="Muy Alta",AF18="Catastrófico")),"Extremo","")))),"")</f>
        <v>Extremo</v>
      </c>
      <c r="AI18" s="151" t="s">
        <v>117</v>
      </c>
      <c r="AJ18" s="181" t="s">
        <v>294</v>
      </c>
      <c r="AK18" s="199" t="s">
        <v>193</v>
      </c>
      <c r="AL18" s="188">
        <v>45293</v>
      </c>
      <c r="AM18" s="194">
        <v>45653</v>
      </c>
      <c r="AN18" s="184" t="s">
        <v>284</v>
      </c>
      <c r="AO18" s="190" t="s">
        <v>269</v>
      </c>
      <c r="AP18" s="181" t="s">
        <v>295</v>
      </c>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row>
    <row r="19" spans="1:73" ht="114.75" customHeight="1" x14ac:dyDescent="0.2">
      <c r="A19" s="214"/>
      <c r="B19" s="220"/>
      <c r="C19" s="222"/>
      <c r="D19" s="183"/>
      <c r="E19" s="181"/>
      <c r="F19" s="181"/>
      <c r="G19" s="215"/>
      <c r="H19" s="197"/>
      <c r="I19" s="216"/>
      <c r="J19" s="217"/>
      <c r="K19" s="183"/>
      <c r="L19" s="185"/>
      <c r="M19" s="205"/>
      <c r="N19" s="206"/>
      <c r="O19" s="203"/>
      <c r="P19" s="204">
        <f>IF(NOT(ISERROR(MATCH(O19,_xlfn.ANCHORARRAY(I30),0))),N32&amp;"Por favor no seleccionar los criterios de impacto",O19)</f>
        <v>0</v>
      </c>
      <c r="Q19" s="205"/>
      <c r="R19" s="206"/>
      <c r="S19" s="207"/>
      <c r="T19" s="152">
        <v>2</v>
      </c>
      <c r="U19" s="143" t="s">
        <v>291</v>
      </c>
      <c r="V19" s="153" t="str">
        <f>IF(OR(W19="Preventivo",W19="Detectivo"),"Probabilidad",IF(W19="Correctivo","Impacto",""))</f>
        <v>Probabilidad</v>
      </c>
      <c r="W19" s="154" t="s">
        <v>14</v>
      </c>
      <c r="X19" s="154" t="s">
        <v>8</v>
      </c>
      <c r="Y19" s="155" t="str">
        <f t="shared" ref="Y19:Y23" si="8">IF(AND(W19="Preventivo",X19="Automático"),"50%",IF(AND(W19="Preventivo",X19="Manual"),"40%",IF(AND(W19="Detectivo",X19="Automático"),"40%",IF(AND(W19="Detectivo",X19="Manual"),"30%",IF(AND(W19="Correctivo",X19="Automático"),"35%",IF(AND(W19="Correctivo",X19="Manual"),"25%",""))))))</f>
        <v>30%</v>
      </c>
      <c r="Z19" s="154" t="s">
        <v>18</v>
      </c>
      <c r="AA19" s="154" t="s">
        <v>21</v>
      </c>
      <c r="AB19" s="154" t="s">
        <v>112</v>
      </c>
      <c r="AC19" s="156">
        <f>IFERROR(IF(AND(V18="Probabilidad",V19="Probabilidad"),(AE18-(+AE18*Y19)),IF(V19="Probabilidad",(N18-(+N18*Y19)),IF(V19="Impacto",AE18,""))),"")</f>
        <v>0.33599999999999997</v>
      </c>
      <c r="AD19" s="157" t="str">
        <f t="shared" si="1"/>
        <v>Baja</v>
      </c>
      <c r="AE19" s="158">
        <f t="shared" ref="AE19:AE23" si="9">+AC19</f>
        <v>0.33599999999999997</v>
      </c>
      <c r="AF19" s="157" t="str">
        <f t="shared" si="3"/>
        <v>Catastrófico</v>
      </c>
      <c r="AG19" s="158">
        <f>IFERROR(IF(AND(V18="Impacto",V19="Impacto"),(AG18-(+AG18*Y19)),IF(V19="Impacto",(R18-(+R18*Y19)),IF(V19="Probabilidad",AG18,""))),"")</f>
        <v>1</v>
      </c>
      <c r="AH19" s="159" t="str">
        <f t="shared" ref="AH19:AH20" si="10">IFERROR(IF(OR(AND(AD19="Muy Baja",AF19="Leve"),AND(AD19="Muy Baja",AF19="Menor"),AND(AD19="Baja",AF19="Leve")),"Bajo",IF(OR(AND(AD19="Muy baja",AF19="Moderado"),AND(AD19="Baja",AF19="Menor"),AND(AD19="Baja",AF19="Moderado"),AND(AD19="Media",AF19="Leve"),AND(AD19="Media",AF19="Menor"),AND(AD19="Media",AF19="Moderado"),AND(AD19="Alta",AF19="Leve"),AND(AD19="Alta",AF19="Menor")),"Moderado",IF(OR(AND(AD19="Muy Baja",AF19="Mayor"),AND(AD19="Baja",AF19="Mayor"),AND(AD19="Media",AF19="Mayor"),AND(AD19="Alta",AF19="Moderado"),AND(AD19="Alta",AF19="Mayor"),AND(AD19="Muy Alta",AF19="Leve"),AND(AD19="Muy Alta",AF19="Menor"),AND(AD19="Muy Alta",AF19="Moderado"),AND(AD19="Muy Alta",AF19="Mayor")),"Alto",IF(OR(AND(AD19="Muy Baja",AF19="Catastrófico"),AND(AD19="Baja",AF19="Catastrófico"),AND(AD19="Media",AF19="Catastrófico"),AND(AD19="Alta",AF19="Catastrófico"),AND(AD19="Muy Alta",AF19="Catastrófico")),"Extremo","")))),"")</f>
        <v>Extremo</v>
      </c>
      <c r="AI19" s="151" t="s">
        <v>117</v>
      </c>
      <c r="AJ19" s="181"/>
      <c r="AK19" s="200"/>
      <c r="AL19" s="187"/>
      <c r="AM19" s="195"/>
      <c r="AN19" s="183"/>
      <c r="AO19" s="190"/>
      <c r="AP19" s="181"/>
      <c r="AQ19" s="10"/>
      <c r="AR19" s="10"/>
      <c r="AS19" s="10"/>
      <c r="AT19" s="10"/>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row>
    <row r="20" spans="1:73" ht="103.5" customHeight="1" x14ac:dyDescent="0.2">
      <c r="A20" s="214"/>
      <c r="B20" s="220"/>
      <c r="C20" s="222"/>
      <c r="D20" s="183"/>
      <c r="E20" s="181"/>
      <c r="F20" s="181"/>
      <c r="G20" s="215"/>
      <c r="H20" s="197"/>
      <c r="I20" s="216"/>
      <c r="J20" s="217"/>
      <c r="K20" s="183"/>
      <c r="L20" s="185"/>
      <c r="M20" s="205"/>
      <c r="N20" s="206"/>
      <c r="O20" s="203"/>
      <c r="P20" s="204">
        <f>IF(NOT(ISERROR(MATCH(O20,_xlfn.ANCHORARRAY(I31),0))),N33&amp;"Por favor no seleccionar los criterios de impacto",O20)</f>
        <v>0</v>
      </c>
      <c r="Q20" s="205"/>
      <c r="R20" s="206"/>
      <c r="S20" s="207"/>
      <c r="T20" s="152">
        <v>3</v>
      </c>
      <c r="U20" s="143" t="s">
        <v>292</v>
      </c>
      <c r="V20" s="153" t="str">
        <f>IF(OR(W20="Preventivo",W20="Detectivo"),"Probabilidad",IF(W20="Correctivo","Impacto",""))</f>
        <v>Probabilidad</v>
      </c>
      <c r="W20" s="154" t="s">
        <v>14</v>
      </c>
      <c r="X20" s="154" t="s">
        <v>8</v>
      </c>
      <c r="Y20" s="155" t="str">
        <f t="shared" si="8"/>
        <v>30%</v>
      </c>
      <c r="Z20" s="154" t="s">
        <v>18</v>
      </c>
      <c r="AA20" s="154" t="s">
        <v>21</v>
      </c>
      <c r="AB20" s="154" t="s">
        <v>112</v>
      </c>
      <c r="AC20" s="156">
        <f>IFERROR(IF(AND(V19="Probabilidad",V20="Probabilidad"),(AE19-(+AE19*Y20)),IF(AND(V19="Impacto",V20="Probabilidad"),(AE18-(+AE18*Y20)),IF(V20="Impacto",AE19,""))),"")</f>
        <v>0.23519999999999996</v>
      </c>
      <c r="AD20" s="157" t="str">
        <f t="shared" si="1"/>
        <v>Baja</v>
      </c>
      <c r="AE20" s="158">
        <f t="shared" si="9"/>
        <v>0.23519999999999996</v>
      </c>
      <c r="AF20" s="157" t="str">
        <f t="shared" si="3"/>
        <v>Catastrófico</v>
      </c>
      <c r="AG20" s="158">
        <f>IFERROR(IF(AND(V19="Impacto",V20="Impacto"),(AG19-(+AG19*Y20)),IF(AND(V19="Probabilidad",V20="Impacto"),(AG18-(+AG18*Y20)),IF(V20="Probabilidad",AG19,""))),"")</f>
        <v>1</v>
      </c>
      <c r="AH20" s="159" t="str">
        <f t="shared" si="10"/>
        <v>Extremo</v>
      </c>
      <c r="AI20" s="151" t="s">
        <v>117</v>
      </c>
      <c r="AJ20" s="181"/>
      <c r="AK20" s="200"/>
      <c r="AL20" s="187"/>
      <c r="AM20" s="195"/>
      <c r="AN20" s="183"/>
      <c r="AO20" s="190"/>
      <c r="AP20" s="181"/>
      <c r="AQ20" s="10"/>
      <c r="AR20" s="10"/>
      <c r="AS20" s="10"/>
      <c r="AT20" s="10"/>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row>
    <row r="21" spans="1:73" ht="108.75" customHeight="1" x14ac:dyDescent="0.2">
      <c r="A21" s="214"/>
      <c r="B21" s="220"/>
      <c r="C21" s="222"/>
      <c r="D21" s="183"/>
      <c r="E21" s="181"/>
      <c r="F21" s="181"/>
      <c r="G21" s="215"/>
      <c r="H21" s="197"/>
      <c r="I21" s="216"/>
      <c r="J21" s="217"/>
      <c r="K21" s="183"/>
      <c r="L21" s="185"/>
      <c r="M21" s="205"/>
      <c r="N21" s="206"/>
      <c r="O21" s="203"/>
      <c r="P21" s="204">
        <f>IF(NOT(ISERROR(MATCH(O21,_xlfn.ANCHORARRAY(I32),0))),N34&amp;"Por favor no seleccionar los criterios de impacto",O21)</f>
        <v>0</v>
      </c>
      <c r="Q21" s="205"/>
      <c r="R21" s="206"/>
      <c r="S21" s="207"/>
      <c r="T21" s="152">
        <v>4</v>
      </c>
      <c r="U21" s="143" t="s">
        <v>293</v>
      </c>
      <c r="V21" s="153" t="str">
        <f t="shared" ref="V21:V25" si="11">IF(OR(W21="Preventivo",W21="Detectivo"),"Probabilidad",IF(W21="Correctivo","Impacto",""))</f>
        <v>Impacto</v>
      </c>
      <c r="W21" s="154" t="s">
        <v>15</v>
      </c>
      <c r="X21" s="154" t="s">
        <v>8</v>
      </c>
      <c r="Y21" s="155" t="str">
        <f t="shared" si="8"/>
        <v>25%</v>
      </c>
      <c r="Z21" s="154" t="s">
        <v>18</v>
      </c>
      <c r="AA21" s="154" t="s">
        <v>21</v>
      </c>
      <c r="AB21" s="154" t="s">
        <v>112</v>
      </c>
      <c r="AC21" s="156">
        <f t="shared" ref="AC21:AC23" si="12">IFERROR(IF(AND(V20="Probabilidad",V21="Probabilidad"),(AE20-(+AE20*Y21)),IF(AND(V20="Impacto",V21="Probabilidad"),(AE19-(+AE19*Y21)),IF(V21="Impacto",AE20,""))),"")</f>
        <v>0.23519999999999996</v>
      </c>
      <c r="AD21" s="157" t="str">
        <f t="shared" si="1"/>
        <v>Baja</v>
      </c>
      <c r="AE21" s="158">
        <f t="shared" si="9"/>
        <v>0.23519999999999996</v>
      </c>
      <c r="AF21" s="157" t="str">
        <f t="shared" si="3"/>
        <v>Mayor</v>
      </c>
      <c r="AG21" s="158">
        <f t="shared" ref="AG21:AG23" si="13">IFERROR(IF(AND(V20="Impacto",V21="Impacto"),(AG20-(+AG20*Y21)),IF(AND(V20="Probabilidad",V21="Impacto"),(AG19-(+AG19*Y21)),IF(V21="Probabilidad",AG20,""))),"")</f>
        <v>0.75</v>
      </c>
      <c r="AH21" s="159" t="str">
        <f>IFERROR(IF(OR(AND(AD21="Muy Baja",AF21="Leve"),AND(AD21="Muy Baja",AF21="Menor"),AND(AD21="Baja",AF21="Leve")),"Bajo",IF(OR(AND(AD21="Muy baja",AF21="Moderado"),AND(AD21="Baja",AF21="Menor"),AND(AD21="Baja",AF21="Moderado"),AND(AD21="Media",AF21="Leve"),AND(AD21="Media",AF21="Menor"),AND(AD21="Media",AF21="Moderado"),AND(AD21="Alta",AF21="Leve"),AND(AD21="Alta",AF21="Menor")),"Moderado",IF(OR(AND(AD21="Muy Baja",AF21="Mayor"),AND(AD21="Baja",AF21="Mayor"),AND(AD21="Media",AF21="Mayor"),AND(AD21="Alta",AF21="Moderado"),AND(AD21="Alta",AF21="Mayor"),AND(AD21="Muy Alta",AF21="Leve"),AND(AD21="Muy Alta",AF21="Menor"),AND(AD21="Muy Alta",AF21="Moderado"),AND(AD21="Muy Alta",AF21="Mayor")),"Alto",IF(OR(AND(AD21="Muy Baja",AF21="Catastrófico"),AND(AD21="Baja",AF21="Catastrófico"),AND(AD21="Media",AF21="Catastrófico"),AND(AD21="Alta",AF21="Catastrófico"),AND(AD21="Muy Alta",AF21="Catastrófico")),"Extremo","")))),"")</f>
        <v>Alto</v>
      </c>
      <c r="AI21" s="151" t="s">
        <v>117</v>
      </c>
      <c r="AJ21" s="181"/>
      <c r="AK21" s="200"/>
      <c r="AL21" s="187"/>
      <c r="AM21" s="195"/>
      <c r="AN21" s="183"/>
      <c r="AO21" s="190"/>
      <c r="AP21" s="181"/>
      <c r="AQ21" s="10"/>
      <c r="AR21" s="10"/>
      <c r="AS21" s="10"/>
      <c r="AT21" s="10"/>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row>
    <row r="22" spans="1:73" ht="15" customHeight="1" x14ac:dyDescent="0.2">
      <c r="A22" s="214"/>
      <c r="B22" s="220"/>
      <c r="C22" s="222"/>
      <c r="D22" s="183"/>
      <c r="E22" s="181"/>
      <c r="F22" s="181"/>
      <c r="G22" s="215"/>
      <c r="H22" s="197"/>
      <c r="I22" s="216"/>
      <c r="J22" s="217"/>
      <c r="K22" s="183"/>
      <c r="L22" s="185"/>
      <c r="M22" s="205"/>
      <c r="N22" s="206"/>
      <c r="O22" s="203"/>
      <c r="P22" s="204">
        <f>IF(NOT(ISERROR(MATCH(O22,_xlfn.ANCHORARRAY(I33),0))),N35&amp;"Por favor no seleccionar los criterios de impacto",O22)</f>
        <v>0</v>
      </c>
      <c r="Q22" s="205"/>
      <c r="R22" s="206"/>
      <c r="S22" s="207"/>
      <c r="T22" s="152">
        <v>5</v>
      </c>
      <c r="U22" s="160"/>
      <c r="V22" s="153" t="str">
        <f t="shared" si="11"/>
        <v/>
      </c>
      <c r="W22" s="154"/>
      <c r="X22" s="154"/>
      <c r="Y22" s="155" t="str">
        <f t="shared" si="8"/>
        <v/>
      </c>
      <c r="Z22" s="154"/>
      <c r="AA22" s="154"/>
      <c r="AB22" s="154"/>
      <c r="AC22" s="156" t="str">
        <f t="shared" si="12"/>
        <v/>
      </c>
      <c r="AD22" s="157" t="str">
        <f t="shared" si="1"/>
        <v/>
      </c>
      <c r="AE22" s="158" t="str">
        <f t="shared" si="9"/>
        <v/>
      </c>
      <c r="AF22" s="157" t="str">
        <f t="shared" si="3"/>
        <v/>
      </c>
      <c r="AG22" s="158" t="str">
        <f t="shared" si="13"/>
        <v/>
      </c>
      <c r="AH22" s="159" t="str">
        <f t="shared" ref="AH22:AH23" si="14">IFERROR(IF(OR(AND(AD22="Muy Baja",AF22="Leve"),AND(AD22="Muy Baja",AF22="Menor"),AND(AD22="Baja",AF22="Leve")),"Bajo",IF(OR(AND(AD22="Muy baja",AF22="Moderado"),AND(AD22="Baja",AF22="Menor"),AND(AD22="Baja",AF22="Moderado"),AND(AD22="Media",AF22="Leve"),AND(AD22="Media",AF22="Menor"),AND(AD22="Media",AF22="Moderado"),AND(AD22="Alta",AF22="Leve"),AND(AD22="Alta",AF22="Menor")),"Moderado",IF(OR(AND(AD22="Muy Baja",AF22="Mayor"),AND(AD22="Baja",AF22="Mayor"),AND(AD22="Media",AF22="Mayor"),AND(AD22="Alta",AF22="Moderado"),AND(AD22="Alta",AF22="Mayor"),AND(AD22="Muy Alta",AF22="Leve"),AND(AD22="Muy Alta",AF22="Menor"),AND(AD22="Muy Alta",AF22="Moderado"),AND(AD22="Muy Alta",AF22="Mayor")),"Alto",IF(OR(AND(AD22="Muy Baja",AF22="Catastrófico"),AND(AD22="Baja",AF22="Catastrófico"),AND(AD22="Media",AF22="Catastrófico"),AND(AD22="Alta",AF22="Catastrófico"),AND(AD22="Muy Alta",AF22="Catastrófico")),"Extremo","")))),"")</f>
        <v/>
      </c>
      <c r="AI22" s="161"/>
      <c r="AJ22" s="181"/>
      <c r="AK22" s="200"/>
      <c r="AL22" s="187"/>
      <c r="AM22" s="195"/>
      <c r="AN22" s="183"/>
      <c r="AO22" s="190"/>
      <c r="AP22" s="181"/>
      <c r="AQ22" s="10"/>
      <c r="AR22" s="10"/>
      <c r="AS22" s="10"/>
      <c r="AT22" s="10"/>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row>
    <row r="23" spans="1:73" ht="15" customHeight="1" x14ac:dyDescent="0.2">
      <c r="A23" s="214"/>
      <c r="B23" s="220"/>
      <c r="C23" s="222"/>
      <c r="D23" s="183"/>
      <c r="E23" s="181"/>
      <c r="F23" s="181"/>
      <c r="G23" s="215"/>
      <c r="H23" s="197"/>
      <c r="I23" s="216"/>
      <c r="J23" s="217"/>
      <c r="K23" s="183"/>
      <c r="L23" s="185"/>
      <c r="M23" s="205"/>
      <c r="N23" s="206"/>
      <c r="O23" s="203"/>
      <c r="P23" s="204">
        <f>IF(NOT(ISERROR(MATCH(O23,_xlfn.ANCHORARRAY(I34),0))),N36&amp;"Por favor no seleccionar los criterios de impacto",O23)</f>
        <v>0</v>
      </c>
      <c r="Q23" s="205"/>
      <c r="R23" s="206"/>
      <c r="S23" s="207"/>
      <c r="T23" s="152">
        <v>6</v>
      </c>
      <c r="U23" s="160"/>
      <c r="V23" s="153" t="str">
        <f t="shared" si="11"/>
        <v/>
      </c>
      <c r="W23" s="154"/>
      <c r="X23" s="154"/>
      <c r="Y23" s="155" t="str">
        <f t="shared" si="8"/>
        <v/>
      </c>
      <c r="Z23" s="154"/>
      <c r="AA23" s="154"/>
      <c r="AB23" s="154"/>
      <c r="AC23" s="156" t="str">
        <f t="shared" si="12"/>
        <v/>
      </c>
      <c r="AD23" s="157" t="str">
        <f t="shared" si="1"/>
        <v/>
      </c>
      <c r="AE23" s="158" t="str">
        <f t="shared" si="9"/>
        <v/>
      </c>
      <c r="AF23" s="157" t="str">
        <f t="shared" si="3"/>
        <v/>
      </c>
      <c r="AG23" s="158" t="str">
        <f t="shared" si="13"/>
        <v/>
      </c>
      <c r="AH23" s="159" t="str">
        <f t="shared" si="14"/>
        <v/>
      </c>
      <c r="AI23" s="161"/>
      <c r="AJ23" s="181"/>
      <c r="AK23" s="186"/>
      <c r="AL23" s="187"/>
      <c r="AM23" s="195"/>
      <c r="AN23" s="183"/>
      <c r="AO23" s="191"/>
      <c r="AP23" s="181"/>
      <c r="AQ23" s="10"/>
      <c r="AR23" s="10"/>
      <c r="AS23" s="10"/>
      <c r="AT23" s="10"/>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row>
    <row r="24" spans="1:73" ht="174.75" customHeight="1" x14ac:dyDescent="0.2">
      <c r="A24" s="214">
        <v>3</v>
      </c>
      <c r="B24" s="219" t="s">
        <v>246</v>
      </c>
      <c r="C24" s="221" t="s">
        <v>273</v>
      </c>
      <c r="D24" s="184" t="s">
        <v>268</v>
      </c>
      <c r="E24" s="181" t="s">
        <v>356</v>
      </c>
      <c r="F24" s="181" t="s">
        <v>357</v>
      </c>
      <c r="G24" s="215" t="s">
        <v>298</v>
      </c>
      <c r="H24" s="181" t="s">
        <v>299</v>
      </c>
      <c r="I24" s="181" t="s">
        <v>297</v>
      </c>
      <c r="J24" s="217" t="s">
        <v>238</v>
      </c>
      <c r="K24" s="183" t="s">
        <v>227</v>
      </c>
      <c r="L24" s="185">
        <v>12000</v>
      </c>
      <c r="M24" s="205" t="str">
        <f>IF(L24&lt;=0,"",IF(L24&lt;=2,"Muy Baja",IF(L24&lt;=24,"Baja",IF(L24&lt;=500,"Media",IF(L24&lt;=5000,"Alta","Muy Alta")))))</f>
        <v>Muy Alta</v>
      </c>
      <c r="N24" s="206">
        <f>IF(M24="","",IF(M24="Muy Baja",0.2,IF(M24="Baja",0.4,IF(M24="Media",0.6,IF(M24="Alta",0.8,IF(M24="Muy Alta",1,))))))</f>
        <v>1</v>
      </c>
      <c r="O24" s="203" t="s">
        <v>131</v>
      </c>
      <c r="P24" s="204" t="str">
        <f>IF(NOT(ISERROR(MATCH(O24,'Tabla Impacto'!$B$221:$B$223,0))),'Tabla Impacto'!$F$223&amp;"Por favor no seleccionar los criterios de impacto(Afectación Económica o presupuestal y Pérdida Reputacional)",O24)</f>
        <v xml:space="preserve">     Mayor a 500 SMLMV </v>
      </c>
      <c r="Q24" s="205" t="str">
        <f>IF(OR(P24='Tabla Impacto'!$C$11,P24='Tabla Impacto'!$D$11),"Leve",IF(OR(P24='Tabla Impacto'!$C$12,P24='Tabla Impacto'!$D$12),"Menor",IF(OR(P24='Tabla Impacto'!$C$13,P24='Tabla Impacto'!$D$13),"Moderado",IF(OR(P24='Tabla Impacto'!$C$14,P24='Tabla Impacto'!$D$14),"Mayor",IF(OR(P24='Tabla Impacto'!$C$15,P24='Tabla Impacto'!$D$15),"Catastrófico","")))))</f>
        <v>Catastrófico</v>
      </c>
      <c r="R24" s="206">
        <f>IF(Q24="","",IF(Q24="Leve",0.2,IF(Q24="Menor",0.4,IF(Q24="Moderado",0.6,IF(Q24="Mayor",0.8,IF(Q24="Catastrófico",1,))))))</f>
        <v>1</v>
      </c>
      <c r="S24" s="207" t="str">
        <f>IF(OR(AND(M24="Muy Baja",Q24="Leve"),AND(M24="Muy Baja",Q24="Menor"),AND(M24="Baja",Q24="Leve")),"Bajo",IF(OR(AND(M24="Muy baja",Q24="Moderado"),AND(M24="Baja",Q24="Menor"),AND(M24="Baja",Q24="Moderado"),AND(M24="Media",Q24="Leve"),AND(M24="Media",Q24="Menor"),AND(M24="Media",Q24="Moderado"),AND(M24="Alta",Q24="Leve"),AND(M24="Alta",Q24="Menor")),"Moderado",IF(OR(AND(M24="Muy Baja",Q24="Mayor"),AND(M24="Baja",Q24="Mayor"),AND(M24="Media",Q24="Mayor"),AND(M24="Alta",Q24="Moderado"),AND(M24="Alta",Q24="Mayor"),AND(M24="Muy Alta",Q24="Leve"),AND(M24="Muy Alta",Q24="Menor"),AND(M24="Muy Alta",Q24="Moderado"),AND(M24="Muy Alta",Q24="Mayor")),"Alto",IF(OR(AND(M24="Muy Baja",Q24="Catastrófico"),AND(M24="Baja",Q24="Catastrófico"),AND(M24="Media",Q24="Catastrófico"),AND(M24="Alta",Q24="Catastrófico"),AND(M24="Muy Alta",Q24="Catastrófico")),"Extremo",""))))</f>
        <v>Extremo</v>
      </c>
      <c r="T24" s="152">
        <v>1</v>
      </c>
      <c r="U24" s="162" t="s">
        <v>300</v>
      </c>
      <c r="V24" s="153" t="str">
        <f t="shared" si="11"/>
        <v>Probabilidad</v>
      </c>
      <c r="W24" s="154" t="s">
        <v>13</v>
      </c>
      <c r="X24" s="154" t="s">
        <v>8</v>
      </c>
      <c r="Y24" s="155" t="str">
        <f>IF(AND(W24="Preventivo",X24="Automático"),"50%",IF(AND(W24="Preventivo",X24="Manual"),"40%",IF(AND(W24="Detectivo",X24="Automático"),"40%",IF(AND(W24="Detectivo",X24="Manual"),"30%",IF(AND(W24="Correctivo",X24="Automático"),"35%",IF(AND(W24="Correctivo",X24="Manual"),"25%",""))))))</f>
        <v>40%</v>
      </c>
      <c r="Z24" s="154" t="s">
        <v>18</v>
      </c>
      <c r="AA24" s="154" t="s">
        <v>21</v>
      </c>
      <c r="AB24" s="154" t="s">
        <v>112</v>
      </c>
      <c r="AC24" s="163">
        <f>IFERROR(IF(V24="Probabilidad",(N24-(+N24*Y24)),IF(V24="Impacto",N24,"")),"")</f>
        <v>0.6</v>
      </c>
      <c r="AD24" s="157" t="str">
        <f>IFERROR(IF(AC24="","",IF(AC24&lt;=0.2,"Muy Baja",IF(AC24&lt;=0.4,"Baja",IF(AC24&lt;=0.6,"Media",IF(AC24&lt;=0.8,"Alta","Muy Alta"))))),"")</f>
        <v>Media</v>
      </c>
      <c r="AE24" s="158">
        <f>+AC24</f>
        <v>0.6</v>
      </c>
      <c r="AF24" s="157" t="str">
        <f>IFERROR(IF(AG24="","",IF(AG24&lt;=0.2,"Leve",IF(AG24&lt;=0.4,"Menor",IF(AG24&lt;=0.6,"Moderado",IF(AG24&lt;=0.8,"Mayor","Catastrófico"))))),"")</f>
        <v>Catastrófico</v>
      </c>
      <c r="AG24" s="158">
        <f>IFERROR(IF(V24="Impacto",(R24-(+R24*Y24)),IF(V24="Probabilidad",R24,"")),"")</f>
        <v>1</v>
      </c>
      <c r="AH24" s="159" t="str">
        <f>IFERROR(IF(OR(AND(AD24="Muy Baja",AF24="Leve"),AND(AD24="Muy Baja",AF24="Menor"),AND(AD24="Baja",AF24="Leve")),"Bajo",IF(OR(AND(AD24="Muy baja",AF24="Moderado"),AND(AD24="Baja",AF24="Menor"),AND(AD24="Baja",AF24="Moderado"),AND(AD24="Media",AF24="Leve"),AND(AD24="Media",AF24="Menor"),AND(AD24="Media",AF24="Moderado"),AND(AD24="Alta",AF24="Leve"),AND(AD24="Alta",AF24="Menor")),"Moderado",IF(OR(AND(AD24="Muy Baja",AF24="Mayor"),AND(AD24="Baja",AF24="Mayor"),AND(AD24="Media",AF24="Mayor"),AND(AD24="Alta",AF24="Moderado"),AND(AD24="Alta",AF24="Mayor"),AND(AD24="Muy Alta",AF24="Leve"),AND(AD24="Muy Alta",AF24="Menor"),AND(AD24="Muy Alta",AF24="Moderado"),AND(AD24="Muy Alta",AF24="Mayor")),"Alto",IF(OR(AND(AD24="Muy Baja",AF24="Catastrófico"),AND(AD24="Baja",AF24="Catastrófico"),AND(AD24="Media",AF24="Catastrófico"),AND(AD24="Alta",AF24="Catastrófico"),AND(AD24="Muy Alta",AF24="Catastrófico")),"Extremo","")))),"")</f>
        <v>Extremo</v>
      </c>
      <c r="AI24" s="151" t="s">
        <v>117</v>
      </c>
      <c r="AJ24" s="178" t="s">
        <v>303</v>
      </c>
      <c r="AK24" s="186" t="s">
        <v>193</v>
      </c>
      <c r="AL24" s="188">
        <v>45293</v>
      </c>
      <c r="AM24" s="194">
        <v>45653</v>
      </c>
      <c r="AN24" s="184" t="s">
        <v>284</v>
      </c>
      <c r="AO24" s="190" t="s">
        <v>269</v>
      </c>
      <c r="AP24" s="178" t="s">
        <v>304</v>
      </c>
      <c r="AQ24" s="10"/>
      <c r="AR24" s="10"/>
      <c r="AS24" s="10"/>
      <c r="AT24" s="10"/>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row>
    <row r="25" spans="1:73" ht="182.25" customHeight="1" x14ac:dyDescent="0.2">
      <c r="A25" s="214"/>
      <c r="B25" s="220"/>
      <c r="C25" s="222"/>
      <c r="D25" s="183"/>
      <c r="E25" s="181"/>
      <c r="F25" s="181"/>
      <c r="G25" s="215"/>
      <c r="H25" s="181"/>
      <c r="I25" s="181"/>
      <c r="J25" s="217"/>
      <c r="K25" s="183"/>
      <c r="L25" s="185"/>
      <c r="M25" s="205"/>
      <c r="N25" s="206"/>
      <c r="O25" s="203"/>
      <c r="P25" s="204">
        <f>IF(NOT(ISERROR(MATCH(O25,_xlfn.ANCHORARRAY(I36),0))),N38&amp;"Por favor no seleccionar los criterios de impacto",O25)</f>
        <v>0</v>
      </c>
      <c r="Q25" s="205"/>
      <c r="R25" s="206"/>
      <c r="S25" s="207"/>
      <c r="T25" s="152">
        <v>2</v>
      </c>
      <c r="U25" s="162" t="s">
        <v>301</v>
      </c>
      <c r="V25" s="153" t="str">
        <f t="shared" si="11"/>
        <v>Probabilidad</v>
      </c>
      <c r="W25" s="154" t="s">
        <v>14</v>
      </c>
      <c r="X25" s="154" t="s">
        <v>8</v>
      </c>
      <c r="Y25" s="155" t="str">
        <f t="shared" ref="Y25:Y29" si="15">IF(AND(W25="Preventivo",X25="Automático"),"50%",IF(AND(W25="Preventivo",X25="Manual"),"40%",IF(AND(W25="Detectivo",X25="Automático"),"40%",IF(AND(W25="Detectivo",X25="Manual"),"30%",IF(AND(W25="Correctivo",X25="Automático"),"35%",IF(AND(W25="Correctivo",X25="Manual"),"25%",""))))))</f>
        <v>30%</v>
      </c>
      <c r="Z25" s="154" t="s">
        <v>18</v>
      </c>
      <c r="AA25" s="154" t="s">
        <v>21</v>
      </c>
      <c r="AB25" s="154" t="s">
        <v>112</v>
      </c>
      <c r="AC25" s="164">
        <f>IFERROR(IF(AND(V24="Probabilidad",V25="Probabilidad"),(AE24-(+AE24*Y25)),IF(V25="Probabilidad",(N24-(+N24*Y25)),IF(V25="Impacto",AE24,""))),"")</f>
        <v>0.42</v>
      </c>
      <c r="AD25" s="157" t="str">
        <f t="shared" si="1"/>
        <v>Media</v>
      </c>
      <c r="AE25" s="158">
        <f t="shared" ref="AE25:AE29" si="16">+AC25</f>
        <v>0.42</v>
      </c>
      <c r="AF25" s="157" t="str">
        <f t="shared" si="3"/>
        <v>Catastrófico</v>
      </c>
      <c r="AG25" s="158">
        <f>IFERROR(IF(AND(V24="Impacto",V25="Impacto"),(AG24-(+AG24*Y25)),IF(V25="Impacto",(R24-(+R24*Y25)),IF(V25="Probabilidad",AG24,""))),"")</f>
        <v>1</v>
      </c>
      <c r="AH25" s="159" t="str">
        <f t="shared" ref="AH25:AH26" si="17">IFERROR(IF(OR(AND(AD25="Muy Baja",AF25="Leve"),AND(AD25="Muy Baja",AF25="Menor"),AND(AD25="Baja",AF25="Leve")),"Bajo",IF(OR(AND(AD25="Muy baja",AF25="Moderado"),AND(AD25="Baja",AF25="Menor"),AND(AD25="Baja",AF25="Moderado"),AND(AD25="Media",AF25="Leve"),AND(AD25="Media",AF25="Menor"),AND(AD25="Media",AF25="Moderado"),AND(AD25="Alta",AF25="Leve"),AND(AD25="Alta",AF25="Menor")),"Moderado",IF(OR(AND(AD25="Muy Baja",AF25="Mayor"),AND(AD25="Baja",AF25="Mayor"),AND(AD25="Media",AF25="Mayor"),AND(AD25="Alta",AF25="Moderado"),AND(AD25="Alta",AF25="Mayor"),AND(AD25="Muy Alta",AF25="Leve"),AND(AD25="Muy Alta",AF25="Menor"),AND(AD25="Muy Alta",AF25="Moderado"),AND(AD25="Muy Alta",AF25="Mayor")),"Alto",IF(OR(AND(AD25="Muy Baja",AF25="Catastrófico"),AND(AD25="Baja",AF25="Catastrófico"),AND(AD25="Media",AF25="Catastrófico"),AND(AD25="Alta",AF25="Catastrófico"),AND(AD25="Muy Alta",AF25="Catastrófico")),"Extremo","")))),"")</f>
        <v>Extremo</v>
      </c>
      <c r="AI25" s="151" t="s">
        <v>117</v>
      </c>
      <c r="AJ25" s="179"/>
      <c r="AK25" s="185"/>
      <c r="AL25" s="187"/>
      <c r="AM25" s="195"/>
      <c r="AN25" s="183"/>
      <c r="AO25" s="190"/>
      <c r="AP25" s="179"/>
      <c r="AQ25" s="10"/>
      <c r="AR25" s="10"/>
      <c r="AS25" s="10"/>
      <c r="AT25" s="10"/>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row>
    <row r="26" spans="1:73" ht="141.75" customHeight="1" x14ac:dyDescent="0.2">
      <c r="A26" s="214"/>
      <c r="B26" s="220"/>
      <c r="C26" s="222"/>
      <c r="D26" s="183"/>
      <c r="E26" s="181"/>
      <c r="F26" s="181"/>
      <c r="G26" s="215"/>
      <c r="H26" s="181"/>
      <c r="I26" s="181"/>
      <c r="J26" s="217"/>
      <c r="K26" s="183"/>
      <c r="L26" s="185"/>
      <c r="M26" s="205"/>
      <c r="N26" s="206"/>
      <c r="O26" s="203"/>
      <c r="P26" s="204">
        <f>IF(NOT(ISERROR(MATCH(O26,_xlfn.ANCHORARRAY(I37),0))),N39&amp;"Por favor no seleccionar los criterios de impacto",O26)</f>
        <v>0</v>
      </c>
      <c r="Q26" s="205"/>
      <c r="R26" s="206"/>
      <c r="S26" s="207"/>
      <c r="T26" s="152">
        <v>3</v>
      </c>
      <c r="U26" s="162" t="s">
        <v>826</v>
      </c>
      <c r="V26" s="153" t="str">
        <f>IF(OR(W26="Preventivo",W26="Detectivo"),"Probabilidad",IF(W26="Correctivo","Impacto",""))</f>
        <v>Probabilidad</v>
      </c>
      <c r="W26" s="154" t="s">
        <v>14</v>
      </c>
      <c r="X26" s="154" t="s">
        <v>8</v>
      </c>
      <c r="Y26" s="155" t="str">
        <f t="shared" si="15"/>
        <v>30%</v>
      </c>
      <c r="Z26" s="154" t="s">
        <v>18</v>
      </c>
      <c r="AA26" s="154" t="s">
        <v>21</v>
      </c>
      <c r="AB26" s="154" t="s">
        <v>112</v>
      </c>
      <c r="AC26" s="156">
        <f>IFERROR(IF(AND(V25="Probabilidad",V26="Probabilidad"),(AE25-(+AE25*Y26)),IF(AND(V25="Impacto",V26="Probabilidad"),(AE24-(+AE24*Y26)),IF(V26="Impacto",AE25,""))),"")</f>
        <v>0.29399999999999998</v>
      </c>
      <c r="AD26" s="157" t="str">
        <f t="shared" si="1"/>
        <v>Baja</v>
      </c>
      <c r="AE26" s="158">
        <f t="shared" si="16"/>
        <v>0.29399999999999998</v>
      </c>
      <c r="AF26" s="157" t="str">
        <f t="shared" si="3"/>
        <v>Catastrófico</v>
      </c>
      <c r="AG26" s="158">
        <f>IFERROR(IF(AND(V25="Impacto",V26="Impacto"),(AG25-(+AG25*Y26)),IF(AND(V25="Probabilidad",V26="Impacto"),(AG24-(+AG24*Y26)),IF(V26="Probabilidad",AG25,""))),"")</f>
        <v>1</v>
      </c>
      <c r="AH26" s="159" t="str">
        <f t="shared" si="17"/>
        <v>Extremo</v>
      </c>
      <c r="AI26" s="151" t="s">
        <v>117</v>
      </c>
      <c r="AJ26" s="179"/>
      <c r="AK26" s="185"/>
      <c r="AL26" s="187"/>
      <c r="AM26" s="195"/>
      <c r="AN26" s="183"/>
      <c r="AO26" s="190"/>
      <c r="AP26" s="179"/>
      <c r="AQ26" s="10"/>
      <c r="AR26" s="10"/>
      <c r="AS26" s="10"/>
      <c r="AT26" s="10"/>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row>
    <row r="27" spans="1:73" ht="108.75" customHeight="1" x14ac:dyDescent="0.2">
      <c r="A27" s="214"/>
      <c r="B27" s="220"/>
      <c r="C27" s="222"/>
      <c r="D27" s="183"/>
      <c r="E27" s="181"/>
      <c r="F27" s="181"/>
      <c r="G27" s="215"/>
      <c r="H27" s="181"/>
      <c r="I27" s="181"/>
      <c r="J27" s="217"/>
      <c r="K27" s="183"/>
      <c r="L27" s="185"/>
      <c r="M27" s="205"/>
      <c r="N27" s="206"/>
      <c r="O27" s="203"/>
      <c r="P27" s="204">
        <f>IF(NOT(ISERROR(MATCH(O27,_xlfn.ANCHORARRAY(I38),0))),N40&amp;"Por favor no seleccionar los criterios de impacto",O27)</f>
        <v>0</v>
      </c>
      <c r="Q27" s="205"/>
      <c r="R27" s="206"/>
      <c r="S27" s="207"/>
      <c r="T27" s="152">
        <v>4</v>
      </c>
      <c r="U27" s="165" t="s">
        <v>302</v>
      </c>
      <c r="V27" s="153" t="str">
        <f t="shared" ref="V27:V29" si="18">IF(OR(W27="Preventivo",W27="Detectivo"),"Probabilidad",IF(W27="Correctivo","Impacto",""))</f>
        <v>Impacto</v>
      </c>
      <c r="W27" s="154" t="s">
        <v>15</v>
      </c>
      <c r="X27" s="154" t="s">
        <v>8</v>
      </c>
      <c r="Y27" s="155" t="str">
        <f t="shared" si="15"/>
        <v>25%</v>
      </c>
      <c r="Z27" s="154" t="s">
        <v>18</v>
      </c>
      <c r="AA27" s="154" t="s">
        <v>21</v>
      </c>
      <c r="AB27" s="154" t="s">
        <v>112</v>
      </c>
      <c r="AC27" s="156">
        <f t="shared" ref="AC27:AC29" si="19">IFERROR(IF(AND(V26="Probabilidad",V27="Probabilidad"),(AE26-(+AE26*Y27)),IF(AND(V26="Impacto",V27="Probabilidad"),(AE25-(+AE25*Y27)),IF(V27="Impacto",AE26,""))),"")</f>
        <v>0.29399999999999998</v>
      </c>
      <c r="AD27" s="157" t="str">
        <f t="shared" si="1"/>
        <v>Baja</v>
      </c>
      <c r="AE27" s="158">
        <f t="shared" si="16"/>
        <v>0.29399999999999998</v>
      </c>
      <c r="AF27" s="157" t="str">
        <f t="shared" si="3"/>
        <v>Mayor</v>
      </c>
      <c r="AG27" s="158">
        <f t="shared" ref="AG27:AG29" si="20">IFERROR(IF(AND(V26="Impacto",V27="Impacto"),(AG26-(+AG26*Y27)),IF(AND(V26="Probabilidad",V27="Impacto"),(AG25-(+AG25*Y27)),IF(V27="Probabilidad",AG26,""))),"")</f>
        <v>0.75</v>
      </c>
      <c r="AH27" s="159" t="str">
        <f>IFERROR(IF(OR(AND(AD27="Muy Baja",AF27="Leve"),AND(AD27="Muy Baja",AF27="Menor"),AND(AD27="Baja",AF27="Leve")),"Bajo",IF(OR(AND(AD27="Muy baja",AF27="Moderado"),AND(AD27="Baja",AF27="Menor"),AND(AD27="Baja",AF27="Moderado"),AND(AD27="Media",AF27="Leve"),AND(AD27="Media",AF27="Menor"),AND(AD27="Media",AF27="Moderado"),AND(AD27="Alta",AF27="Leve"),AND(AD27="Alta",AF27="Menor")),"Moderado",IF(OR(AND(AD27="Muy Baja",AF27="Mayor"),AND(AD27="Baja",AF27="Mayor"),AND(AD27="Media",AF27="Mayor"),AND(AD27="Alta",AF27="Moderado"),AND(AD27="Alta",AF27="Mayor"),AND(AD27="Muy Alta",AF27="Leve"),AND(AD27="Muy Alta",AF27="Menor"),AND(AD27="Muy Alta",AF27="Moderado"),AND(AD27="Muy Alta",AF27="Mayor")),"Alto",IF(OR(AND(AD27="Muy Baja",AF27="Catastrófico"),AND(AD27="Baja",AF27="Catastrófico"),AND(AD27="Media",AF27="Catastrófico"),AND(AD27="Alta",AF27="Catastrófico"),AND(AD27="Muy Alta",AF27="Catastrófico")),"Extremo","")))),"")</f>
        <v>Alto</v>
      </c>
      <c r="AI27" s="151" t="s">
        <v>117</v>
      </c>
      <c r="AJ27" s="179"/>
      <c r="AK27" s="185"/>
      <c r="AL27" s="187"/>
      <c r="AM27" s="195"/>
      <c r="AN27" s="183"/>
      <c r="AO27" s="190"/>
      <c r="AP27" s="179"/>
      <c r="AQ27" s="10"/>
      <c r="AR27" s="10"/>
      <c r="AS27" s="10"/>
      <c r="AT27" s="10"/>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row>
    <row r="28" spans="1:73" x14ac:dyDescent="0.2">
      <c r="A28" s="214"/>
      <c r="B28" s="220"/>
      <c r="C28" s="222"/>
      <c r="D28" s="183"/>
      <c r="E28" s="181"/>
      <c r="F28" s="181"/>
      <c r="G28" s="215"/>
      <c r="H28" s="181"/>
      <c r="I28" s="181"/>
      <c r="J28" s="217"/>
      <c r="K28" s="183"/>
      <c r="L28" s="185"/>
      <c r="M28" s="205"/>
      <c r="N28" s="206"/>
      <c r="O28" s="203"/>
      <c r="P28" s="204">
        <f>IF(NOT(ISERROR(MATCH(O28,_xlfn.ANCHORARRAY(I39),0))),N41&amp;"Por favor no seleccionar los criterios de impacto",O28)</f>
        <v>0</v>
      </c>
      <c r="Q28" s="205"/>
      <c r="R28" s="206"/>
      <c r="S28" s="207"/>
      <c r="T28" s="152">
        <v>5</v>
      </c>
      <c r="U28" s="160"/>
      <c r="V28" s="153" t="str">
        <f t="shared" si="18"/>
        <v/>
      </c>
      <c r="W28" s="154"/>
      <c r="X28" s="154"/>
      <c r="Y28" s="155" t="str">
        <f t="shared" si="15"/>
        <v/>
      </c>
      <c r="Z28" s="154"/>
      <c r="AA28" s="154"/>
      <c r="AB28" s="154"/>
      <c r="AC28" s="156" t="str">
        <f t="shared" si="19"/>
        <v/>
      </c>
      <c r="AD28" s="157" t="str">
        <f t="shared" si="1"/>
        <v/>
      </c>
      <c r="AE28" s="158" t="str">
        <f t="shared" si="16"/>
        <v/>
      </c>
      <c r="AF28" s="157" t="str">
        <f t="shared" si="3"/>
        <v/>
      </c>
      <c r="AG28" s="158" t="str">
        <f t="shared" si="20"/>
        <v/>
      </c>
      <c r="AH28" s="159" t="str">
        <f t="shared" ref="AH28:AH29" si="21">IFERROR(IF(OR(AND(AD28="Muy Baja",AF28="Leve"),AND(AD28="Muy Baja",AF28="Menor"),AND(AD28="Baja",AF28="Leve")),"Bajo",IF(OR(AND(AD28="Muy baja",AF28="Moderado"),AND(AD28="Baja",AF28="Menor"),AND(AD28="Baja",AF28="Moderado"),AND(AD28="Media",AF28="Leve"),AND(AD28="Media",AF28="Menor"),AND(AD28="Media",AF28="Moderado"),AND(AD28="Alta",AF28="Leve"),AND(AD28="Alta",AF28="Menor")),"Moderado",IF(OR(AND(AD28="Muy Baja",AF28="Mayor"),AND(AD28="Baja",AF28="Mayor"),AND(AD28="Media",AF28="Mayor"),AND(AD28="Alta",AF28="Moderado"),AND(AD28="Alta",AF28="Mayor"),AND(AD28="Muy Alta",AF28="Leve"),AND(AD28="Muy Alta",AF28="Menor"),AND(AD28="Muy Alta",AF28="Moderado"),AND(AD28="Muy Alta",AF28="Mayor")),"Alto",IF(OR(AND(AD28="Muy Baja",AF28="Catastrófico"),AND(AD28="Baja",AF28="Catastrófico"),AND(AD28="Media",AF28="Catastrófico"),AND(AD28="Alta",AF28="Catastrófico"),AND(AD28="Muy Alta",AF28="Catastrófico")),"Extremo","")))),"")</f>
        <v/>
      </c>
      <c r="AI28" s="161"/>
      <c r="AJ28" s="179"/>
      <c r="AK28" s="185"/>
      <c r="AL28" s="187"/>
      <c r="AM28" s="195"/>
      <c r="AN28" s="183"/>
      <c r="AO28" s="190"/>
      <c r="AP28" s="179"/>
      <c r="AQ28" s="10"/>
      <c r="AR28" s="10"/>
      <c r="AS28" s="10"/>
      <c r="AT28" s="10"/>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row>
    <row r="29" spans="1:73" x14ac:dyDescent="0.2">
      <c r="A29" s="214"/>
      <c r="B29" s="220"/>
      <c r="C29" s="222"/>
      <c r="D29" s="183"/>
      <c r="E29" s="181"/>
      <c r="F29" s="181"/>
      <c r="G29" s="215"/>
      <c r="H29" s="181"/>
      <c r="I29" s="181"/>
      <c r="J29" s="217"/>
      <c r="K29" s="183"/>
      <c r="L29" s="185"/>
      <c r="M29" s="205"/>
      <c r="N29" s="206"/>
      <c r="O29" s="203"/>
      <c r="P29" s="204">
        <f>IF(NOT(ISERROR(MATCH(O29,_xlfn.ANCHORARRAY(I40),0))),N42&amp;"Por favor no seleccionar los criterios de impacto",O29)</f>
        <v>0</v>
      </c>
      <c r="Q29" s="205"/>
      <c r="R29" s="206"/>
      <c r="S29" s="207"/>
      <c r="T29" s="152">
        <v>6</v>
      </c>
      <c r="U29" s="160"/>
      <c r="V29" s="153" t="str">
        <f t="shared" si="18"/>
        <v/>
      </c>
      <c r="W29" s="154"/>
      <c r="X29" s="154"/>
      <c r="Y29" s="155" t="str">
        <f t="shared" si="15"/>
        <v/>
      </c>
      <c r="Z29" s="154"/>
      <c r="AA29" s="154"/>
      <c r="AB29" s="154"/>
      <c r="AC29" s="156" t="str">
        <f t="shared" si="19"/>
        <v/>
      </c>
      <c r="AD29" s="157" t="str">
        <f t="shared" si="1"/>
        <v/>
      </c>
      <c r="AE29" s="158" t="str">
        <f t="shared" si="16"/>
        <v/>
      </c>
      <c r="AF29" s="157" t="str">
        <f t="shared" si="3"/>
        <v/>
      </c>
      <c r="AG29" s="158" t="str">
        <f t="shared" si="20"/>
        <v/>
      </c>
      <c r="AH29" s="159" t="str">
        <f t="shared" si="21"/>
        <v/>
      </c>
      <c r="AI29" s="161"/>
      <c r="AJ29" s="180"/>
      <c r="AK29" s="185"/>
      <c r="AL29" s="187"/>
      <c r="AM29" s="195"/>
      <c r="AN29" s="183"/>
      <c r="AO29" s="191"/>
      <c r="AP29" s="180"/>
      <c r="AQ29" s="10"/>
      <c r="AR29" s="10"/>
      <c r="AS29" s="10"/>
      <c r="AT29" s="10"/>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row>
    <row r="30" spans="1:73" ht="154.5" customHeight="1" x14ac:dyDescent="0.2">
      <c r="A30" s="214">
        <v>4</v>
      </c>
      <c r="B30" s="219" t="s">
        <v>246</v>
      </c>
      <c r="C30" s="221" t="s">
        <v>273</v>
      </c>
      <c r="D30" s="184" t="s">
        <v>266</v>
      </c>
      <c r="E30" s="181" t="s">
        <v>305</v>
      </c>
      <c r="F30" s="181" t="s">
        <v>306</v>
      </c>
      <c r="G30" s="215" t="s">
        <v>307</v>
      </c>
      <c r="H30" s="181" t="s">
        <v>370</v>
      </c>
      <c r="I30" s="181" t="s">
        <v>371</v>
      </c>
      <c r="J30" s="217" t="s">
        <v>230</v>
      </c>
      <c r="K30" s="183" t="s">
        <v>227</v>
      </c>
      <c r="L30" s="185">
        <v>400</v>
      </c>
      <c r="M30" s="205" t="str">
        <f>IF(L30&lt;=0,"",IF(L30&lt;=2,"Muy Baja",IF(L30&lt;=24,"Baja",IF(L30&lt;=500,"Media",IF(L30&lt;=5000,"Alta","Muy Alta")))))</f>
        <v>Media</v>
      </c>
      <c r="N30" s="206">
        <f>IF(M30="","",IF(M30="Muy Baja",0.2,IF(M30="Baja",0.4,IF(M30="Media",0.6,IF(M30="Alta",0.8,IF(M30="Muy Alta",1,))))))</f>
        <v>0.6</v>
      </c>
      <c r="O30" s="203" t="s">
        <v>135</v>
      </c>
      <c r="P30" s="204" t="str">
        <f>IF(NOT(ISERROR(MATCH(O30,'Tabla Impacto'!$B$221:$B$223,0))),'Tabla Impacto'!$F$223&amp;"Por favor no seleccionar los criterios de impacto(Afectación Económica o presupuestal y Pérdida Reputacional)",O30)</f>
        <v xml:space="preserve">     El riesgo afecta la imagen de de la entidad con efecto publicitario sostenido a nivel de sector administrativo, nivel departamental o municipal</v>
      </c>
      <c r="Q30" s="205" t="str">
        <f>IF(OR(P30='Tabla Impacto'!$C$11,P30='Tabla Impacto'!$D$11),"Leve",IF(OR(P30='Tabla Impacto'!$C$12,P30='Tabla Impacto'!$D$12),"Menor",IF(OR(P30='Tabla Impacto'!$C$13,P30='Tabla Impacto'!$D$13),"Moderado",IF(OR(P30='Tabla Impacto'!$C$14,P30='Tabla Impacto'!$D$14),"Mayor",IF(OR(P30='Tabla Impacto'!$C$15,P30='Tabla Impacto'!$D$15),"Catastrófico","")))))</f>
        <v>Mayor</v>
      </c>
      <c r="R30" s="206">
        <f>IF(Q30="","",IF(Q30="Leve",0.2,IF(Q30="Menor",0.4,IF(Q30="Moderado",0.6,IF(Q30="Mayor",0.8,IF(Q30="Catastrófico",1,))))))</f>
        <v>0.8</v>
      </c>
      <c r="S30" s="207" t="str">
        <f>IF(OR(AND(M30="Muy Baja",Q30="Leve"),AND(M30="Muy Baja",Q30="Menor"),AND(M30="Baja",Q30="Leve")),"Bajo",IF(OR(AND(M30="Muy baja",Q30="Moderado"),AND(M30="Baja",Q30="Menor"),AND(M30="Baja",Q30="Moderado"),AND(M30="Media",Q30="Leve"),AND(M30="Media",Q30="Menor"),AND(M30="Media",Q30="Moderado"),AND(M30="Alta",Q30="Leve"),AND(M30="Alta",Q30="Menor")),"Moderado",IF(OR(AND(M30="Muy Baja",Q30="Mayor"),AND(M30="Baja",Q30="Mayor"),AND(M30="Media",Q30="Mayor"),AND(M30="Alta",Q30="Moderado"),AND(M30="Alta",Q30="Mayor"),AND(M30="Muy Alta",Q30="Leve"),AND(M30="Muy Alta",Q30="Menor"),AND(M30="Muy Alta",Q30="Moderado"),AND(M30="Muy Alta",Q30="Mayor")),"Alto",IF(OR(AND(M30="Muy Baja",Q30="Catastrófico"),AND(M30="Baja",Q30="Catastrófico"),AND(M30="Media",Q30="Catastrófico"),AND(M30="Alta",Q30="Catastrófico"),AND(M30="Muy Alta",Q30="Catastrófico")),"Extremo",""))))</f>
        <v>Alto</v>
      </c>
      <c r="T30" s="152">
        <v>1</v>
      </c>
      <c r="U30" s="166" t="s">
        <v>308</v>
      </c>
      <c r="V30" s="153" t="str">
        <f>IF(OR(W30="Preventivo",W30="Detectivo"),"Probabilidad",IF(W30="Correctivo","Impacto",""))</f>
        <v>Probabilidad</v>
      </c>
      <c r="W30" s="154" t="s">
        <v>13</v>
      </c>
      <c r="X30" s="154" t="s">
        <v>8</v>
      </c>
      <c r="Y30" s="155" t="str">
        <f>IF(AND(W30="Preventivo",X30="Automático"),"50%",IF(AND(W30="Preventivo",X30="Manual"),"40%",IF(AND(W30="Detectivo",X30="Automático"),"40%",IF(AND(W30="Detectivo",X30="Manual"),"30%",IF(AND(W30="Correctivo",X30="Automático"),"35%",IF(AND(W30="Correctivo",X30="Manual"),"25%",""))))))</f>
        <v>40%</v>
      </c>
      <c r="Z30" s="154" t="s">
        <v>18</v>
      </c>
      <c r="AA30" s="154" t="s">
        <v>21</v>
      </c>
      <c r="AB30" s="154" t="s">
        <v>112</v>
      </c>
      <c r="AC30" s="156">
        <f>IFERROR(IF(V30="Probabilidad",(N30-(+N30*Y30)),IF(V30="Impacto",N30,"")),"")</f>
        <v>0.36</v>
      </c>
      <c r="AD30" s="157" t="str">
        <f>IFERROR(IF(AC30="","",IF(AC30&lt;=0.2,"Muy Baja",IF(AC30&lt;=0.4,"Baja",IF(AC30&lt;=0.6,"Media",IF(AC30&lt;=0.8,"Alta","Muy Alta"))))),"")</f>
        <v>Baja</v>
      </c>
      <c r="AE30" s="158">
        <f>+AC30</f>
        <v>0.36</v>
      </c>
      <c r="AF30" s="157" t="str">
        <f>IFERROR(IF(AG30="","",IF(AG30&lt;=0.2,"Leve",IF(AG30&lt;=0.4,"Menor",IF(AG30&lt;=0.6,"Moderado",IF(AG30&lt;=0.8,"Mayor","Catastrófico"))))),"")</f>
        <v>Mayor</v>
      </c>
      <c r="AG30" s="158">
        <f>IFERROR(IF(V30="Impacto",(R30-(+R30*Y30)),IF(V30="Probabilidad",R30,"")),"")</f>
        <v>0.8</v>
      </c>
      <c r="AH30" s="159" t="str">
        <f>IFERROR(IF(OR(AND(AD30="Muy Baja",AF30="Leve"),AND(AD30="Muy Baja",AF30="Menor"),AND(AD30="Baja",AF30="Leve")),"Bajo",IF(OR(AND(AD30="Muy baja",AF30="Moderado"),AND(AD30="Baja",AF30="Menor"),AND(AD30="Baja",AF30="Moderado"),AND(AD30="Media",AF30="Leve"),AND(AD30="Media",AF30="Menor"),AND(AD30="Media",AF30="Moderado"),AND(AD30="Alta",AF30="Leve"),AND(AD30="Alta",AF30="Menor")),"Moderado",IF(OR(AND(AD30="Muy Baja",AF30="Mayor"),AND(AD30="Baja",AF30="Mayor"),AND(AD30="Media",AF30="Mayor"),AND(AD30="Alta",AF30="Moderado"),AND(AD30="Alta",AF30="Mayor"),AND(AD30="Muy Alta",AF30="Leve"),AND(AD30="Muy Alta",AF30="Menor"),AND(AD30="Muy Alta",AF30="Moderado"),AND(AD30="Muy Alta",AF30="Mayor")),"Alto",IF(OR(AND(AD30="Muy Baja",AF30="Catastrófico"),AND(AD30="Baja",AF30="Catastrófico"),AND(AD30="Media",AF30="Catastrófico"),AND(AD30="Alta",AF30="Catastrófico"),AND(AD30="Muy Alta",AF30="Catastrófico")),"Extremo","")))),"")</f>
        <v>Alto</v>
      </c>
      <c r="AI30" s="161" t="s">
        <v>117</v>
      </c>
      <c r="AJ30" s="178" t="s">
        <v>364</v>
      </c>
      <c r="AK30" s="186" t="s">
        <v>193</v>
      </c>
      <c r="AL30" s="188">
        <v>45293</v>
      </c>
      <c r="AM30" s="194">
        <v>45653</v>
      </c>
      <c r="AN30" s="184" t="s">
        <v>284</v>
      </c>
      <c r="AO30" s="190" t="s">
        <v>269</v>
      </c>
      <c r="AP30" s="178" t="s">
        <v>311</v>
      </c>
      <c r="AQ30" s="10"/>
      <c r="AR30" s="10"/>
      <c r="AS30" s="10"/>
      <c r="AT30" s="10"/>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row>
    <row r="31" spans="1:73" ht="120" customHeight="1" x14ac:dyDescent="0.2">
      <c r="A31" s="214"/>
      <c r="B31" s="220"/>
      <c r="C31" s="222"/>
      <c r="D31" s="183"/>
      <c r="E31" s="181"/>
      <c r="F31" s="181"/>
      <c r="G31" s="215"/>
      <c r="H31" s="181"/>
      <c r="I31" s="181"/>
      <c r="J31" s="217"/>
      <c r="K31" s="183"/>
      <c r="L31" s="185"/>
      <c r="M31" s="205"/>
      <c r="N31" s="206"/>
      <c r="O31" s="203"/>
      <c r="P31" s="204">
        <f>IF(NOT(ISERROR(MATCH(O31,_xlfn.ANCHORARRAY(I42),0))),N44&amp;"Por favor no seleccionar los criterios de impacto",O31)</f>
        <v>0</v>
      </c>
      <c r="Q31" s="205"/>
      <c r="R31" s="206"/>
      <c r="S31" s="207"/>
      <c r="T31" s="152">
        <v>2</v>
      </c>
      <c r="U31" s="166" t="s">
        <v>309</v>
      </c>
      <c r="V31" s="153" t="str">
        <f>IF(OR(W31="Preventivo",W31="Detectivo"),"Probabilidad",IF(W31="Correctivo","Impacto",""))</f>
        <v>Probabilidad</v>
      </c>
      <c r="W31" s="154" t="s">
        <v>13</v>
      </c>
      <c r="X31" s="154" t="s">
        <v>8</v>
      </c>
      <c r="Y31" s="155" t="str">
        <f t="shared" ref="Y31:Y35" si="22">IF(AND(W31="Preventivo",X31="Automático"),"50%",IF(AND(W31="Preventivo",X31="Manual"),"40%",IF(AND(W31="Detectivo",X31="Automático"),"40%",IF(AND(W31="Detectivo",X31="Manual"),"30%",IF(AND(W31="Correctivo",X31="Automático"),"35%",IF(AND(W31="Correctivo",X31="Manual"),"25%",""))))))</f>
        <v>40%</v>
      </c>
      <c r="Z31" s="154" t="s">
        <v>18</v>
      </c>
      <c r="AA31" s="154" t="s">
        <v>21</v>
      </c>
      <c r="AB31" s="154" t="s">
        <v>112</v>
      </c>
      <c r="AC31" s="156">
        <f>IFERROR(IF(AND(V30="Probabilidad",V31="Probabilidad"),(AE30-(+AE30*Y31)),IF(V31="Probabilidad",(N30-(+N30*Y31)),IF(V31="Impacto",AE30,""))),"")</f>
        <v>0.216</v>
      </c>
      <c r="AD31" s="157" t="str">
        <f t="shared" si="1"/>
        <v>Baja</v>
      </c>
      <c r="AE31" s="158">
        <f t="shared" ref="AE31:AE35" si="23">+AC31</f>
        <v>0.216</v>
      </c>
      <c r="AF31" s="157" t="str">
        <f t="shared" si="3"/>
        <v>Mayor</v>
      </c>
      <c r="AG31" s="158">
        <f>IFERROR(IF(AND(V30="Impacto",V31="Impacto"),(AG30-(+AG30*Y31)),IF(V31="Impacto",(R30-(+R30*Y31)),IF(V31="Probabilidad",AG30,""))),"")</f>
        <v>0.8</v>
      </c>
      <c r="AH31" s="159" t="str">
        <f t="shared" ref="AH31:AH32" si="24">IFERROR(IF(OR(AND(AD31="Muy Baja",AF31="Leve"),AND(AD31="Muy Baja",AF31="Menor"),AND(AD31="Baja",AF31="Leve")),"Bajo",IF(OR(AND(AD31="Muy baja",AF31="Moderado"),AND(AD31="Baja",AF31="Menor"),AND(AD31="Baja",AF31="Moderado"),AND(AD31="Media",AF31="Leve"),AND(AD31="Media",AF31="Menor"),AND(AD31="Media",AF31="Moderado"),AND(AD31="Alta",AF31="Leve"),AND(AD31="Alta",AF31="Menor")),"Moderado",IF(OR(AND(AD31="Muy Baja",AF31="Mayor"),AND(AD31="Baja",AF31="Mayor"),AND(AD31="Media",AF31="Mayor"),AND(AD31="Alta",AF31="Moderado"),AND(AD31="Alta",AF31="Mayor"),AND(AD31="Muy Alta",AF31="Leve"),AND(AD31="Muy Alta",AF31="Menor"),AND(AD31="Muy Alta",AF31="Moderado"),AND(AD31="Muy Alta",AF31="Mayor")),"Alto",IF(OR(AND(AD31="Muy Baja",AF31="Catastrófico"),AND(AD31="Baja",AF31="Catastrófico"),AND(AD31="Media",AF31="Catastrófico"),AND(AD31="Alta",AF31="Catastrófico"),AND(AD31="Muy Alta",AF31="Catastrófico")),"Extremo","")))),"")</f>
        <v>Alto</v>
      </c>
      <c r="AI31" s="161" t="s">
        <v>117</v>
      </c>
      <c r="AJ31" s="179"/>
      <c r="AK31" s="185"/>
      <c r="AL31" s="187"/>
      <c r="AM31" s="195"/>
      <c r="AN31" s="183"/>
      <c r="AO31" s="190"/>
      <c r="AP31" s="179"/>
      <c r="AQ31" s="10"/>
      <c r="AR31" s="10"/>
      <c r="AS31" s="10"/>
      <c r="AT31" s="10"/>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row>
    <row r="32" spans="1:73" ht="100.5" customHeight="1" x14ac:dyDescent="0.2">
      <c r="A32" s="214"/>
      <c r="B32" s="220"/>
      <c r="C32" s="222"/>
      <c r="D32" s="183"/>
      <c r="E32" s="181"/>
      <c r="F32" s="181"/>
      <c r="G32" s="215"/>
      <c r="H32" s="181"/>
      <c r="I32" s="181"/>
      <c r="J32" s="217"/>
      <c r="K32" s="183"/>
      <c r="L32" s="185"/>
      <c r="M32" s="205"/>
      <c r="N32" s="206"/>
      <c r="O32" s="203"/>
      <c r="P32" s="204">
        <f>IF(NOT(ISERROR(MATCH(O32,_xlfn.ANCHORARRAY(I43),0))),N45&amp;"Por favor no seleccionar los criterios de impacto",O32)</f>
        <v>0</v>
      </c>
      <c r="Q32" s="205"/>
      <c r="R32" s="206"/>
      <c r="S32" s="207"/>
      <c r="T32" s="152">
        <v>3</v>
      </c>
      <c r="U32" s="167" t="s">
        <v>310</v>
      </c>
      <c r="V32" s="153" t="str">
        <f>IF(OR(W32="Preventivo",W32="Detectivo"),"Probabilidad",IF(W32="Correctivo","Impacto",""))</f>
        <v>Probabilidad</v>
      </c>
      <c r="W32" s="154" t="s">
        <v>14</v>
      </c>
      <c r="X32" s="154" t="s">
        <v>8</v>
      </c>
      <c r="Y32" s="155" t="str">
        <f t="shared" si="22"/>
        <v>30%</v>
      </c>
      <c r="Z32" s="154" t="s">
        <v>18</v>
      </c>
      <c r="AA32" s="154" t="s">
        <v>21</v>
      </c>
      <c r="AB32" s="154" t="s">
        <v>112</v>
      </c>
      <c r="AC32" s="156">
        <f>IFERROR(IF(AND(V31="Probabilidad",V32="Probabilidad"),(AE31-(+AE31*Y32)),IF(AND(V31="Impacto",V32="Probabilidad"),(AE30-(+AE30*Y32)),IF(V32="Impacto",AE31,""))),"")</f>
        <v>0.1512</v>
      </c>
      <c r="AD32" s="157" t="str">
        <f t="shared" si="1"/>
        <v>Muy Baja</v>
      </c>
      <c r="AE32" s="158">
        <f t="shared" si="23"/>
        <v>0.1512</v>
      </c>
      <c r="AF32" s="157" t="str">
        <f t="shared" si="3"/>
        <v>Mayor</v>
      </c>
      <c r="AG32" s="158">
        <f>IFERROR(IF(AND(V31="Impacto",V32="Impacto"),(AG31-(+AG31*Y32)),IF(AND(V31="Probabilidad",V32="Impacto"),(AG30-(+AG30*Y32)),IF(V32="Probabilidad",AG31,""))),"")</f>
        <v>0.8</v>
      </c>
      <c r="AH32" s="159" t="str">
        <f t="shared" si="24"/>
        <v>Alto</v>
      </c>
      <c r="AI32" s="161" t="s">
        <v>117</v>
      </c>
      <c r="AJ32" s="179"/>
      <c r="AK32" s="185"/>
      <c r="AL32" s="187"/>
      <c r="AM32" s="195"/>
      <c r="AN32" s="183"/>
      <c r="AO32" s="190"/>
      <c r="AP32" s="179"/>
      <c r="AQ32" s="10"/>
      <c r="AR32" s="10"/>
      <c r="AS32" s="10"/>
      <c r="AT32" s="10"/>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row>
    <row r="33" spans="1:73" ht="15" customHeight="1" x14ac:dyDescent="0.2">
      <c r="A33" s="214"/>
      <c r="B33" s="220"/>
      <c r="C33" s="222"/>
      <c r="D33" s="183"/>
      <c r="E33" s="181"/>
      <c r="F33" s="181"/>
      <c r="G33" s="215"/>
      <c r="H33" s="181"/>
      <c r="I33" s="181"/>
      <c r="J33" s="217"/>
      <c r="K33" s="183"/>
      <c r="L33" s="185"/>
      <c r="M33" s="205"/>
      <c r="N33" s="206"/>
      <c r="O33" s="203"/>
      <c r="P33" s="204">
        <f>IF(NOT(ISERROR(MATCH(O33,_xlfn.ANCHORARRAY(I44),0))),N46&amp;"Por favor no seleccionar los criterios de impacto",O33)</f>
        <v>0</v>
      </c>
      <c r="Q33" s="205"/>
      <c r="R33" s="206"/>
      <c r="S33" s="207"/>
      <c r="T33" s="152">
        <v>4</v>
      </c>
      <c r="U33" s="160"/>
      <c r="V33" s="153" t="str">
        <f t="shared" ref="V33:V35" si="25">IF(OR(W33="Preventivo",W33="Detectivo"),"Probabilidad",IF(W33="Correctivo","Impacto",""))</f>
        <v/>
      </c>
      <c r="W33" s="154"/>
      <c r="X33" s="154"/>
      <c r="Y33" s="155" t="str">
        <f t="shared" si="22"/>
        <v/>
      </c>
      <c r="Z33" s="154"/>
      <c r="AA33" s="154"/>
      <c r="AB33" s="154"/>
      <c r="AC33" s="156" t="str">
        <f t="shared" ref="AC33:AC35" si="26">IFERROR(IF(AND(V32="Probabilidad",V33="Probabilidad"),(AE32-(+AE32*Y33)),IF(AND(V32="Impacto",V33="Probabilidad"),(AE31-(+AE31*Y33)),IF(V33="Impacto",AE32,""))),"")</f>
        <v/>
      </c>
      <c r="AD33" s="157" t="str">
        <f t="shared" si="1"/>
        <v/>
      </c>
      <c r="AE33" s="158" t="str">
        <f t="shared" si="23"/>
        <v/>
      </c>
      <c r="AF33" s="157" t="str">
        <f t="shared" si="3"/>
        <v/>
      </c>
      <c r="AG33" s="158" t="str">
        <f t="shared" ref="AG33:AG35" si="27">IFERROR(IF(AND(V32="Impacto",V33="Impacto"),(AG32-(+AG32*Y33)),IF(AND(V32="Probabilidad",V33="Impacto"),(AG31-(+AG31*Y33)),IF(V33="Probabilidad",AG32,""))),"")</f>
        <v/>
      </c>
      <c r="AH33" s="159" t="str">
        <f>IFERROR(IF(OR(AND(AD33="Muy Baja",AF33="Leve"),AND(AD33="Muy Baja",AF33="Menor"),AND(AD33="Baja",AF33="Leve")),"Bajo",IF(OR(AND(AD33="Muy baja",AF33="Moderado"),AND(AD33="Baja",AF33="Menor"),AND(AD33="Baja",AF33="Moderado"),AND(AD33="Media",AF33="Leve"),AND(AD33="Media",AF33="Menor"),AND(AD33="Media",AF33="Moderado"),AND(AD33="Alta",AF33="Leve"),AND(AD33="Alta",AF33="Menor")),"Moderado",IF(OR(AND(AD33="Muy Baja",AF33="Mayor"),AND(AD33="Baja",AF33="Mayor"),AND(AD33="Media",AF33="Mayor"),AND(AD33="Alta",AF33="Moderado"),AND(AD33="Alta",AF33="Mayor"),AND(AD33="Muy Alta",AF33="Leve"),AND(AD33="Muy Alta",AF33="Menor"),AND(AD33="Muy Alta",AF33="Moderado"),AND(AD33="Muy Alta",AF33="Mayor")),"Alto",IF(OR(AND(AD33="Muy Baja",AF33="Catastrófico"),AND(AD33="Baja",AF33="Catastrófico"),AND(AD33="Media",AF33="Catastrófico"),AND(AD33="Alta",AF33="Catastrófico"),AND(AD33="Muy Alta",AF33="Catastrófico")),"Extremo","")))),"")</f>
        <v/>
      </c>
      <c r="AI33" s="161"/>
      <c r="AJ33" s="179"/>
      <c r="AK33" s="185"/>
      <c r="AL33" s="187"/>
      <c r="AM33" s="195"/>
      <c r="AN33" s="183"/>
      <c r="AO33" s="190"/>
      <c r="AP33" s="179"/>
      <c r="AQ33" s="10"/>
      <c r="AR33" s="10"/>
      <c r="AS33" s="10"/>
      <c r="AT33" s="10"/>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row>
    <row r="34" spans="1:73" ht="15" customHeight="1" x14ac:dyDescent="0.2">
      <c r="A34" s="214"/>
      <c r="B34" s="220"/>
      <c r="C34" s="222"/>
      <c r="D34" s="183"/>
      <c r="E34" s="181"/>
      <c r="F34" s="181"/>
      <c r="G34" s="215"/>
      <c r="H34" s="181"/>
      <c r="I34" s="181"/>
      <c r="J34" s="217"/>
      <c r="K34" s="183"/>
      <c r="L34" s="185"/>
      <c r="M34" s="205"/>
      <c r="N34" s="206"/>
      <c r="O34" s="203"/>
      <c r="P34" s="204">
        <f>IF(NOT(ISERROR(MATCH(O34,_xlfn.ANCHORARRAY(I45),0))),N47&amp;"Por favor no seleccionar los criterios de impacto",O34)</f>
        <v>0</v>
      </c>
      <c r="Q34" s="205"/>
      <c r="R34" s="206"/>
      <c r="S34" s="207"/>
      <c r="T34" s="152">
        <v>5</v>
      </c>
      <c r="U34" s="160"/>
      <c r="V34" s="153" t="str">
        <f t="shared" si="25"/>
        <v/>
      </c>
      <c r="W34" s="154"/>
      <c r="X34" s="154"/>
      <c r="Y34" s="155" t="str">
        <f t="shared" si="22"/>
        <v/>
      </c>
      <c r="Z34" s="154"/>
      <c r="AA34" s="154"/>
      <c r="AB34" s="154"/>
      <c r="AC34" s="168" t="str">
        <f t="shared" si="26"/>
        <v/>
      </c>
      <c r="AD34" s="157" t="str">
        <f>IFERROR(IF(AC34="","",IF(AC34&lt;=0.2,"Muy Baja",IF(AC34&lt;=0.4,"Baja",IF(AC34&lt;=0.6,"Media",IF(AC34&lt;=0.8,"Alta","Muy Alta"))))),"")</f>
        <v/>
      </c>
      <c r="AE34" s="158" t="str">
        <f t="shared" si="23"/>
        <v/>
      </c>
      <c r="AF34" s="157" t="str">
        <f t="shared" si="3"/>
        <v/>
      </c>
      <c r="AG34" s="158" t="str">
        <f t="shared" si="27"/>
        <v/>
      </c>
      <c r="AH34" s="159" t="str">
        <f t="shared" ref="AH34:AH35" si="28">IFERROR(IF(OR(AND(AD34="Muy Baja",AF34="Leve"),AND(AD34="Muy Baja",AF34="Menor"),AND(AD34="Baja",AF34="Leve")),"Bajo",IF(OR(AND(AD34="Muy baja",AF34="Moderado"),AND(AD34="Baja",AF34="Menor"),AND(AD34="Baja",AF34="Moderado"),AND(AD34="Media",AF34="Leve"),AND(AD34="Media",AF34="Menor"),AND(AD34="Media",AF34="Moderado"),AND(AD34="Alta",AF34="Leve"),AND(AD34="Alta",AF34="Menor")),"Moderado",IF(OR(AND(AD34="Muy Baja",AF34="Mayor"),AND(AD34="Baja",AF34="Mayor"),AND(AD34="Media",AF34="Mayor"),AND(AD34="Alta",AF34="Moderado"),AND(AD34="Alta",AF34="Mayor"),AND(AD34="Muy Alta",AF34="Leve"),AND(AD34="Muy Alta",AF34="Menor"),AND(AD34="Muy Alta",AF34="Moderado"),AND(AD34="Muy Alta",AF34="Mayor")),"Alto",IF(OR(AND(AD34="Muy Baja",AF34="Catastrófico"),AND(AD34="Baja",AF34="Catastrófico"),AND(AD34="Media",AF34="Catastrófico"),AND(AD34="Alta",AF34="Catastrófico"),AND(AD34="Muy Alta",AF34="Catastrófico")),"Extremo","")))),"")</f>
        <v/>
      </c>
      <c r="AI34" s="161"/>
      <c r="AJ34" s="179"/>
      <c r="AK34" s="185"/>
      <c r="AL34" s="187"/>
      <c r="AM34" s="195"/>
      <c r="AN34" s="183"/>
      <c r="AO34" s="190"/>
      <c r="AP34" s="179"/>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row>
    <row r="35" spans="1:73" x14ac:dyDescent="0.2">
      <c r="A35" s="214"/>
      <c r="B35" s="220"/>
      <c r="C35" s="222"/>
      <c r="D35" s="183"/>
      <c r="E35" s="181"/>
      <c r="F35" s="181"/>
      <c r="G35" s="215"/>
      <c r="H35" s="181"/>
      <c r="I35" s="181"/>
      <c r="J35" s="217"/>
      <c r="K35" s="183"/>
      <c r="L35" s="185"/>
      <c r="M35" s="205"/>
      <c r="N35" s="206"/>
      <c r="O35" s="203"/>
      <c r="P35" s="204">
        <f>IF(NOT(ISERROR(MATCH(O35,_xlfn.ANCHORARRAY(I46),0))),N48&amp;"Por favor no seleccionar los criterios de impacto",O35)</f>
        <v>0</v>
      </c>
      <c r="Q35" s="205"/>
      <c r="R35" s="206"/>
      <c r="S35" s="207"/>
      <c r="T35" s="152">
        <v>6</v>
      </c>
      <c r="U35" s="160"/>
      <c r="V35" s="153" t="str">
        <f t="shared" si="25"/>
        <v/>
      </c>
      <c r="W35" s="154"/>
      <c r="X35" s="154"/>
      <c r="Y35" s="155" t="str">
        <f t="shared" si="22"/>
        <v/>
      </c>
      <c r="Z35" s="154"/>
      <c r="AA35" s="154"/>
      <c r="AB35" s="154"/>
      <c r="AC35" s="156" t="str">
        <f t="shared" si="26"/>
        <v/>
      </c>
      <c r="AD35" s="157" t="str">
        <f t="shared" si="1"/>
        <v/>
      </c>
      <c r="AE35" s="158" t="str">
        <f t="shared" si="23"/>
        <v/>
      </c>
      <c r="AF35" s="157" t="str">
        <f t="shared" si="3"/>
        <v/>
      </c>
      <c r="AG35" s="158" t="str">
        <f t="shared" si="27"/>
        <v/>
      </c>
      <c r="AH35" s="159" t="str">
        <f t="shared" si="28"/>
        <v/>
      </c>
      <c r="AI35" s="161"/>
      <c r="AJ35" s="180"/>
      <c r="AK35" s="185"/>
      <c r="AL35" s="187"/>
      <c r="AM35" s="195"/>
      <c r="AN35" s="183"/>
      <c r="AO35" s="191"/>
      <c r="AP35" s="180"/>
      <c r="AQ35" s="10"/>
      <c r="AR35" s="10"/>
      <c r="AS35" s="10"/>
      <c r="AT35" s="1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row>
    <row r="36" spans="1:73" ht="142.5" customHeight="1" x14ac:dyDescent="0.2">
      <c r="A36" s="214">
        <v>5</v>
      </c>
      <c r="B36" s="219" t="s">
        <v>246</v>
      </c>
      <c r="C36" s="221" t="s">
        <v>273</v>
      </c>
      <c r="D36" s="184" t="s">
        <v>266</v>
      </c>
      <c r="E36" s="181" t="s">
        <v>354</v>
      </c>
      <c r="F36" s="181" t="s">
        <v>355</v>
      </c>
      <c r="G36" s="215" t="s">
        <v>353</v>
      </c>
      <c r="H36" s="181" t="s">
        <v>313</v>
      </c>
      <c r="I36" s="181" t="s">
        <v>312</v>
      </c>
      <c r="J36" s="217" t="s">
        <v>238</v>
      </c>
      <c r="K36" s="197" t="s">
        <v>242</v>
      </c>
      <c r="L36" s="185">
        <v>136</v>
      </c>
      <c r="M36" s="205" t="str">
        <f>IF(L36&lt;=0,"",IF(L36&lt;=2,"Muy Baja",IF(L36&lt;=24,"Baja",IF(L36&lt;=500,"Media",IF(L36&lt;=5000,"Alta","Muy Alta")))))</f>
        <v>Media</v>
      </c>
      <c r="N36" s="206">
        <f>IF(M36="","",IF(M36="Muy Baja",0.2,IF(M36="Baja",0.4,IF(M36="Media",0.6,IF(M36="Alta",0.8,IF(M36="Muy Alta",1,))))))</f>
        <v>0.6</v>
      </c>
      <c r="O36" s="203" t="s">
        <v>134</v>
      </c>
      <c r="P36" s="204" t="str">
        <f>IF(NOT(ISERROR(MATCH(O36,'Tabla Impacto'!$B$221:$B$223,0))),'Tabla Impacto'!$F$223&amp;"Por favor no seleccionar los criterios de impacto(Afectación Económica o presupuestal y Pérdida Reputacional)",O36)</f>
        <v xml:space="preserve">     El riesgo afecta la imagen de la entidad con algunos usuarios de relevancia frente al logro de los objetivos</v>
      </c>
      <c r="Q36" s="205" t="str">
        <f>IF(OR(P36='Tabla Impacto'!$C$11,P36='Tabla Impacto'!$D$11),"Leve",IF(OR(P36='Tabla Impacto'!$C$12,P36='Tabla Impacto'!$D$12),"Menor",IF(OR(P36='Tabla Impacto'!$C$13,P36='Tabla Impacto'!$D$13),"Moderado",IF(OR(P36='Tabla Impacto'!$C$14,P36='Tabla Impacto'!$D$14),"Mayor",IF(OR(P36='Tabla Impacto'!$C$15,P36='Tabla Impacto'!$D$15),"Catastrófico","")))))</f>
        <v>Moderado</v>
      </c>
      <c r="R36" s="206">
        <f>IF(Q36="","",IF(Q36="Leve",0.2,IF(Q36="Menor",0.4,IF(Q36="Moderado",0.6,IF(Q36="Mayor",0.8,IF(Q36="Catastrófico",1,))))))</f>
        <v>0.6</v>
      </c>
      <c r="S36" s="207" t="str">
        <f>IF(OR(AND(M36="Muy Baja",Q36="Leve"),AND(M36="Muy Baja",Q36="Menor"),AND(M36="Baja",Q36="Leve")),"Bajo",IF(OR(AND(M36="Muy baja",Q36="Moderado"),AND(M36="Baja",Q36="Menor"),AND(M36="Baja",Q36="Moderado"),AND(M36="Media",Q36="Leve"),AND(M36="Media",Q36="Menor"),AND(M36="Media",Q36="Moderado"),AND(M36="Alta",Q36="Leve"),AND(M36="Alta",Q36="Menor")),"Moderado",IF(OR(AND(M36="Muy Baja",Q36="Mayor"),AND(M36="Baja",Q36="Mayor"),AND(M36="Media",Q36="Mayor"),AND(M36="Alta",Q36="Moderado"),AND(M36="Alta",Q36="Mayor"),AND(M36="Muy Alta",Q36="Leve"),AND(M36="Muy Alta",Q36="Menor"),AND(M36="Muy Alta",Q36="Moderado"),AND(M36="Muy Alta",Q36="Mayor")),"Alto",IF(OR(AND(M36="Muy Baja",Q36="Catastrófico"),AND(M36="Baja",Q36="Catastrófico"),AND(M36="Media",Q36="Catastrófico"),AND(M36="Alta",Q36="Catastrófico"),AND(M36="Muy Alta",Q36="Catastrófico")),"Extremo",""))))</f>
        <v>Moderado</v>
      </c>
      <c r="T36" s="152">
        <v>1</v>
      </c>
      <c r="U36" s="167" t="s">
        <v>314</v>
      </c>
      <c r="V36" s="153" t="str">
        <f>IF(OR(W36="Preventivo",W36="Detectivo"),"Probabilidad",IF(W36="Correctivo","Impacto",""))</f>
        <v>Probabilidad</v>
      </c>
      <c r="W36" s="154" t="s">
        <v>13</v>
      </c>
      <c r="X36" s="154" t="s">
        <v>8</v>
      </c>
      <c r="Y36" s="155" t="str">
        <f>IF(AND(W36="Preventivo",X36="Automático"),"50%",IF(AND(W36="Preventivo",X36="Manual"),"40%",IF(AND(W36="Detectivo",X36="Automático"),"40%",IF(AND(W36="Detectivo",X36="Manual"),"30%",IF(AND(W36="Correctivo",X36="Automático"),"35%",IF(AND(W36="Correctivo",X36="Manual"),"25%",""))))))</f>
        <v>40%</v>
      </c>
      <c r="Z36" s="154" t="s">
        <v>18</v>
      </c>
      <c r="AA36" s="154" t="s">
        <v>21</v>
      </c>
      <c r="AB36" s="154" t="s">
        <v>112</v>
      </c>
      <c r="AC36" s="156">
        <f>IFERROR(IF(V36="Probabilidad",(N36-(+N36*Y36)),IF(V36="Impacto",N36,"")),"")</f>
        <v>0.36</v>
      </c>
      <c r="AD36" s="157" t="str">
        <f>IFERROR(IF(AC36="","",IF(AC36&lt;=0.2,"Muy Baja",IF(AC36&lt;=0.4,"Baja",IF(AC36&lt;=0.6,"Media",IF(AC36&lt;=0.8,"Alta","Muy Alta"))))),"")</f>
        <v>Baja</v>
      </c>
      <c r="AE36" s="158">
        <f>+AC36</f>
        <v>0.36</v>
      </c>
      <c r="AF36" s="157" t="str">
        <f>IFERROR(IF(AG36="","",IF(AG36&lt;=0.2,"Leve",IF(AG36&lt;=0.4,"Menor",IF(AG36&lt;=0.6,"Moderado",IF(AG36&lt;=0.8,"Mayor","Catastrófico"))))),"")</f>
        <v>Moderado</v>
      </c>
      <c r="AG36" s="158">
        <f>IFERROR(IF(V36="Impacto",(R36-(+R36*Y36)),IF(V36="Probabilidad",R36,"")),"")</f>
        <v>0.6</v>
      </c>
      <c r="AH36" s="159" t="str">
        <f>IFERROR(IF(OR(AND(AD36="Muy Baja",AF36="Leve"),AND(AD36="Muy Baja",AF36="Menor"),AND(AD36="Baja",AF36="Leve")),"Bajo",IF(OR(AND(AD36="Muy baja",AF36="Moderado"),AND(AD36="Baja",AF36="Menor"),AND(AD36="Baja",AF36="Moderado"),AND(AD36="Media",AF36="Leve"),AND(AD36="Media",AF36="Menor"),AND(AD36="Media",AF36="Moderado"),AND(AD36="Alta",AF36="Leve"),AND(AD36="Alta",AF36="Menor")),"Moderado",IF(OR(AND(AD36="Muy Baja",AF36="Mayor"),AND(AD36="Baja",AF36="Mayor"),AND(AD36="Media",AF36="Mayor"),AND(AD36="Alta",AF36="Moderado"),AND(AD36="Alta",AF36="Mayor"),AND(AD36="Muy Alta",AF36="Leve"),AND(AD36="Muy Alta",AF36="Menor"),AND(AD36="Muy Alta",AF36="Moderado"),AND(AD36="Muy Alta",AF36="Mayor")),"Alto",IF(OR(AND(AD36="Muy Baja",AF36="Catastrófico"),AND(AD36="Baja",AF36="Catastrófico"),AND(AD36="Media",AF36="Catastrófico"),AND(AD36="Alta",AF36="Catastrófico"),AND(AD36="Muy Alta",AF36="Catastrófico")),"Extremo","")))),"")</f>
        <v>Moderado</v>
      </c>
      <c r="AI36" s="161" t="s">
        <v>117</v>
      </c>
      <c r="AJ36" s="181" t="s">
        <v>317</v>
      </c>
      <c r="AK36" s="186" t="s">
        <v>193</v>
      </c>
      <c r="AL36" s="188">
        <v>45293</v>
      </c>
      <c r="AM36" s="194">
        <v>45653</v>
      </c>
      <c r="AN36" s="184" t="s">
        <v>284</v>
      </c>
      <c r="AO36" s="190" t="s">
        <v>269</v>
      </c>
      <c r="AP36" s="178" t="s">
        <v>343</v>
      </c>
      <c r="AQ36" s="10"/>
      <c r="AR36" s="10"/>
      <c r="AS36" s="10"/>
      <c r="AT36" s="10"/>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row>
    <row r="37" spans="1:73" ht="97.5" customHeight="1" x14ac:dyDescent="0.2">
      <c r="A37" s="214"/>
      <c r="B37" s="220"/>
      <c r="C37" s="222"/>
      <c r="D37" s="183"/>
      <c r="E37" s="181"/>
      <c r="F37" s="181"/>
      <c r="G37" s="215"/>
      <c r="H37" s="181"/>
      <c r="I37" s="181"/>
      <c r="J37" s="217"/>
      <c r="K37" s="197"/>
      <c r="L37" s="185"/>
      <c r="M37" s="205"/>
      <c r="N37" s="206"/>
      <c r="O37" s="203"/>
      <c r="P37" s="204">
        <f>IF(NOT(ISERROR(MATCH(O37,_xlfn.ANCHORARRAY(I48),0))),N50&amp;"Por favor no seleccionar los criterios de impacto",O37)</f>
        <v>0</v>
      </c>
      <c r="Q37" s="205"/>
      <c r="R37" s="206"/>
      <c r="S37" s="207"/>
      <c r="T37" s="152">
        <v>2</v>
      </c>
      <c r="U37" s="167" t="s">
        <v>315</v>
      </c>
      <c r="V37" s="153" t="str">
        <f>IF(OR(W37="Preventivo",W37="Detectivo"),"Probabilidad",IF(W37="Correctivo","Impacto",""))</f>
        <v>Probabilidad</v>
      </c>
      <c r="W37" s="154" t="s">
        <v>13</v>
      </c>
      <c r="X37" s="154" t="s">
        <v>8</v>
      </c>
      <c r="Y37" s="155" t="str">
        <f t="shared" ref="Y37:Y41" si="29">IF(AND(W37="Preventivo",X37="Automático"),"50%",IF(AND(W37="Preventivo",X37="Manual"),"40%",IF(AND(W37="Detectivo",X37="Automático"),"40%",IF(AND(W37="Detectivo",X37="Manual"),"30%",IF(AND(W37="Correctivo",X37="Automático"),"35%",IF(AND(W37="Correctivo",X37="Manual"),"25%",""))))))</f>
        <v>40%</v>
      </c>
      <c r="Z37" s="154" t="s">
        <v>18</v>
      </c>
      <c r="AA37" s="154" t="s">
        <v>21</v>
      </c>
      <c r="AB37" s="154" t="s">
        <v>112</v>
      </c>
      <c r="AC37" s="156">
        <f>IFERROR(IF(AND(V36="Probabilidad",V37="Probabilidad"),(AE36-(+AE36*Y37)),IF(V37="Probabilidad",(N36-(+N36*Y37)),IF(V37="Impacto",AE36,""))),"")</f>
        <v>0.216</v>
      </c>
      <c r="AD37" s="157" t="str">
        <f t="shared" si="1"/>
        <v>Baja</v>
      </c>
      <c r="AE37" s="158">
        <f t="shared" ref="AE37:AE41" si="30">+AC37</f>
        <v>0.216</v>
      </c>
      <c r="AF37" s="157" t="str">
        <f t="shared" si="3"/>
        <v>Moderado</v>
      </c>
      <c r="AG37" s="158">
        <f>IFERROR(IF(AND(V36="Impacto",V37="Impacto"),(AG36-(+AG36*Y37)),IF(V37="Impacto",(R36-(+R36*Y37)),IF(V37="Probabilidad",AG36,""))),"")</f>
        <v>0.6</v>
      </c>
      <c r="AH37" s="159" t="str">
        <f t="shared" ref="AH37:AH38" si="31">IFERROR(IF(OR(AND(AD37="Muy Baja",AF37="Leve"),AND(AD37="Muy Baja",AF37="Menor"),AND(AD37="Baja",AF37="Leve")),"Bajo",IF(OR(AND(AD37="Muy baja",AF37="Moderado"),AND(AD37="Baja",AF37="Menor"),AND(AD37="Baja",AF37="Moderado"),AND(AD37="Media",AF37="Leve"),AND(AD37="Media",AF37="Menor"),AND(AD37="Media",AF37="Moderado"),AND(AD37="Alta",AF37="Leve"),AND(AD37="Alta",AF37="Menor")),"Moderado",IF(OR(AND(AD37="Muy Baja",AF37="Mayor"),AND(AD37="Baja",AF37="Mayor"),AND(AD37="Media",AF37="Mayor"),AND(AD37="Alta",AF37="Moderado"),AND(AD37="Alta",AF37="Mayor"),AND(AD37="Muy Alta",AF37="Leve"),AND(AD37="Muy Alta",AF37="Menor"),AND(AD37="Muy Alta",AF37="Moderado"),AND(AD37="Muy Alta",AF37="Mayor")),"Alto",IF(OR(AND(AD37="Muy Baja",AF37="Catastrófico"),AND(AD37="Baja",AF37="Catastrófico"),AND(AD37="Media",AF37="Catastrófico"),AND(AD37="Alta",AF37="Catastrófico"),AND(AD37="Muy Alta",AF37="Catastrófico")),"Extremo","")))),"")</f>
        <v>Moderado</v>
      </c>
      <c r="AI37" s="161" t="s">
        <v>117</v>
      </c>
      <c r="AJ37" s="181"/>
      <c r="AK37" s="185"/>
      <c r="AL37" s="187"/>
      <c r="AM37" s="195"/>
      <c r="AN37" s="183"/>
      <c r="AO37" s="190"/>
      <c r="AP37" s="179"/>
      <c r="AQ37" s="10"/>
      <c r="AR37" s="10"/>
      <c r="AS37" s="10"/>
      <c r="AT37" s="1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row>
    <row r="38" spans="1:73" ht="145.5" customHeight="1" x14ac:dyDescent="0.2">
      <c r="A38" s="214"/>
      <c r="B38" s="220"/>
      <c r="C38" s="222"/>
      <c r="D38" s="183"/>
      <c r="E38" s="181"/>
      <c r="F38" s="181"/>
      <c r="G38" s="215"/>
      <c r="H38" s="181"/>
      <c r="I38" s="181"/>
      <c r="J38" s="217"/>
      <c r="K38" s="197"/>
      <c r="L38" s="185"/>
      <c r="M38" s="205"/>
      <c r="N38" s="206"/>
      <c r="O38" s="203"/>
      <c r="P38" s="204">
        <f>IF(NOT(ISERROR(MATCH(O38,_xlfn.ANCHORARRAY(I49),0))),N51&amp;"Por favor no seleccionar los criterios de impacto",O38)</f>
        <v>0</v>
      </c>
      <c r="Q38" s="205"/>
      <c r="R38" s="206"/>
      <c r="S38" s="207"/>
      <c r="T38" s="152">
        <v>3</v>
      </c>
      <c r="U38" s="167" t="s">
        <v>316</v>
      </c>
      <c r="V38" s="153" t="str">
        <f>IF(OR(W38="Preventivo",W38="Detectivo"),"Probabilidad",IF(W38="Correctivo","Impacto",""))</f>
        <v>Probabilidad</v>
      </c>
      <c r="W38" s="154" t="s">
        <v>13</v>
      </c>
      <c r="X38" s="154" t="s">
        <v>8</v>
      </c>
      <c r="Y38" s="155" t="str">
        <f t="shared" si="29"/>
        <v>40%</v>
      </c>
      <c r="Z38" s="154" t="s">
        <v>18</v>
      </c>
      <c r="AA38" s="154" t="s">
        <v>21</v>
      </c>
      <c r="AB38" s="154" t="s">
        <v>112</v>
      </c>
      <c r="AC38" s="156">
        <f>IFERROR(IF(AND(V37="Probabilidad",V38="Probabilidad"),(AE37-(+AE37*Y38)),IF(AND(V37="Impacto",V38="Probabilidad"),(AE36-(+AE36*Y38)),IF(V38="Impacto",AE37,""))),"")</f>
        <v>0.12959999999999999</v>
      </c>
      <c r="AD38" s="157" t="str">
        <f t="shared" si="1"/>
        <v>Muy Baja</v>
      </c>
      <c r="AE38" s="158">
        <f t="shared" si="30"/>
        <v>0.12959999999999999</v>
      </c>
      <c r="AF38" s="157" t="str">
        <f t="shared" si="3"/>
        <v>Moderado</v>
      </c>
      <c r="AG38" s="158">
        <f>IFERROR(IF(AND(V37="Impacto",V38="Impacto"),(AG37-(+AG37*Y38)),IF(AND(V37="Probabilidad",V38="Impacto"),(AG36-(+AG36*Y38)),IF(V38="Probabilidad",AG37,""))),"")</f>
        <v>0.6</v>
      </c>
      <c r="AH38" s="159" t="str">
        <f t="shared" si="31"/>
        <v>Moderado</v>
      </c>
      <c r="AI38" s="161" t="s">
        <v>117</v>
      </c>
      <c r="AJ38" s="181"/>
      <c r="AK38" s="185"/>
      <c r="AL38" s="187"/>
      <c r="AM38" s="195"/>
      <c r="AN38" s="183"/>
      <c r="AO38" s="190"/>
      <c r="AP38" s="179"/>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row>
    <row r="39" spans="1:73" ht="15" customHeight="1" x14ac:dyDescent="0.2">
      <c r="A39" s="214"/>
      <c r="B39" s="220"/>
      <c r="C39" s="222"/>
      <c r="D39" s="183"/>
      <c r="E39" s="181"/>
      <c r="F39" s="181"/>
      <c r="G39" s="215"/>
      <c r="H39" s="181"/>
      <c r="I39" s="181"/>
      <c r="J39" s="217"/>
      <c r="K39" s="197"/>
      <c r="L39" s="185"/>
      <c r="M39" s="205"/>
      <c r="N39" s="206"/>
      <c r="O39" s="203"/>
      <c r="P39" s="204">
        <f>IF(NOT(ISERROR(MATCH(O39,_xlfn.ANCHORARRAY(I50),0))),N52&amp;"Por favor no seleccionar los criterios de impacto",O39)</f>
        <v>0</v>
      </c>
      <c r="Q39" s="205"/>
      <c r="R39" s="206"/>
      <c r="S39" s="207"/>
      <c r="T39" s="152">
        <v>4</v>
      </c>
      <c r="U39" s="160"/>
      <c r="V39" s="153" t="str">
        <f t="shared" ref="V39:V41" si="32">IF(OR(W39="Preventivo",W39="Detectivo"),"Probabilidad",IF(W39="Correctivo","Impacto",""))</f>
        <v/>
      </c>
      <c r="W39" s="154"/>
      <c r="X39" s="154"/>
      <c r="Y39" s="155" t="str">
        <f t="shared" si="29"/>
        <v/>
      </c>
      <c r="Z39" s="154"/>
      <c r="AA39" s="154"/>
      <c r="AB39" s="154"/>
      <c r="AC39" s="156" t="str">
        <f t="shared" ref="AC39:AC41" si="33">IFERROR(IF(AND(V38="Probabilidad",V39="Probabilidad"),(AE38-(+AE38*Y39)),IF(AND(V38="Impacto",V39="Probabilidad"),(AE37-(+AE37*Y39)),IF(V39="Impacto",AE38,""))),"")</f>
        <v/>
      </c>
      <c r="AD39" s="157" t="str">
        <f t="shared" si="1"/>
        <v/>
      </c>
      <c r="AE39" s="158" t="str">
        <f t="shared" si="30"/>
        <v/>
      </c>
      <c r="AF39" s="157" t="str">
        <f t="shared" si="3"/>
        <v/>
      </c>
      <c r="AG39" s="158" t="str">
        <f t="shared" ref="AG39:AG41" si="34">IFERROR(IF(AND(V38="Impacto",V39="Impacto"),(AG38-(+AG38*Y39)),IF(AND(V38="Probabilidad",V39="Impacto"),(AG37-(+AG37*Y39)),IF(V39="Probabilidad",AG38,""))),"")</f>
        <v/>
      </c>
      <c r="AH39" s="159" t="str">
        <f>IFERROR(IF(OR(AND(AD39="Muy Baja",AF39="Leve"),AND(AD39="Muy Baja",AF39="Menor"),AND(AD39="Baja",AF39="Leve")),"Bajo",IF(OR(AND(AD39="Muy baja",AF39="Moderado"),AND(AD39="Baja",AF39="Menor"),AND(AD39="Baja",AF39="Moderado"),AND(AD39="Media",AF39="Leve"),AND(AD39="Media",AF39="Menor"),AND(AD39="Media",AF39="Moderado"),AND(AD39="Alta",AF39="Leve"),AND(AD39="Alta",AF39="Menor")),"Moderado",IF(OR(AND(AD39="Muy Baja",AF39="Mayor"),AND(AD39="Baja",AF39="Mayor"),AND(AD39="Media",AF39="Mayor"),AND(AD39="Alta",AF39="Moderado"),AND(AD39="Alta",AF39="Mayor"),AND(AD39="Muy Alta",AF39="Leve"),AND(AD39="Muy Alta",AF39="Menor"),AND(AD39="Muy Alta",AF39="Moderado"),AND(AD39="Muy Alta",AF39="Mayor")),"Alto",IF(OR(AND(AD39="Muy Baja",AF39="Catastrófico"),AND(AD39="Baja",AF39="Catastrófico"),AND(AD39="Media",AF39="Catastrófico"),AND(AD39="Alta",AF39="Catastrófico"),AND(AD39="Muy Alta",AF39="Catastrófico")),"Extremo","")))),"")</f>
        <v/>
      </c>
      <c r="AI39" s="161"/>
      <c r="AJ39" s="181"/>
      <c r="AK39" s="185"/>
      <c r="AL39" s="187"/>
      <c r="AM39" s="195"/>
      <c r="AN39" s="183"/>
      <c r="AO39" s="190"/>
      <c r="AP39" s="179"/>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row>
    <row r="40" spans="1:73" ht="15" customHeight="1" x14ac:dyDescent="0.2">
      <c r="A40" s="214"/>
      <c r="B40" s="220"/>
      <c r="C40" s="222"/>
      <c r="D40" s="183"/>
      <c r="E40" s="181"/>
      <c r="F40" s="181"/>
      <c r="G40" s="215"/>
      <c r="H40" s="181"/>
      <c r="I40" s="181"/>
      <c r="J40" s="217"/>
      <c r="K40" s="197"/>
      <c r="L40" s="185"/>
      <c r="M40" s="205"/>
      <c r="N40" s="206"/>
      <c r="O40" s="203"/>
      <c r="P40" s="204">
        <f>IF(NOT(ISERROR(MATCH(O40,_xlfn.ANCHORARRAY(I51),0))),N53&amp;"Por favor no seleccionar los criterios de impacto",O40)</f>
        <v>0</v>
      </c>
      <c r="Q40" s="205"/>
      <c r="R40" s="206"/>
      <c r="S40" s="207"/>
      <c r="T40" s="152">
        <v>5</v>
      </c>
      <c r="U40" s="160"/>
      <c r="V40" s="153" t="str">
        <f t="shared" si="32"/>
        <v/>
      </c>
      <c r="W40" s="154"/>
      <c r="X40" s="154"/>
      <c r="Y40" s="155" t="str">
        <f t="shared" si="29"/>
        <v/>
      </c>
      <c r="Z40" s="154"/>
      <c r="AA40" s="154"/>
      <c r="AB40" s="154"/>
      <c r="AC40" s="156" t="str">
        <f t="shared" si="33"/>
        <v/>
      </c>
      <c r="AD40" s="157" t="str">
        <f t="shared" si="1"/>
        <v/>
      </c>
      <c r="AE40" s="158" t="str">
        <f t="shared" si="30"/>
        <v/>
      </c>
      <c r="AF40" s="157" t="str">
        <f t="shared" si="3"/>
        <v/>
      </c>
      <c r="AG40" s="158" t="str">
        <f t="shared" si="34"/>
        <v/>
      </c>
      <c r="AH40" s="159" t="str">
        <f t="shared" ref="AH40:AH41" si="35">IFERROR(IF(OR(AND(AD40="Muy Baja",AF40="Leve"),AND(AD40="Muy Baja",AF40="Menor"),AND(AD40="Baja",AF40="Leve")),"Bajo",IF(OR(AND(AD40="Muy baja",AF40="Moderado"),AND(AD40="Baja",AF40="Menor"),AND(AD40="Baja",AF40="Moderado"),AND(AD40="Media",AF40="Leve"),AND(AD40="Media",AF40="Menor"),AND(AD40="Media",AF40="Moderado"),AND(AD40="Alta",AF40="Leve"),AND(AD40="Alta",AF40="Menor")),"Moderado",IF(OR(AND(AD40="Muy Baja",AF40="Mayor"),AND(AD40="Baja",AF40="Mayor"),AND(AD40="Media",AF40="Mayor"),AND(AD40="Alta",AF40="Moderado"),AND(AD40="Alta",AF40="Mayor"),AND(AD40="Muy Alta",AF40="Leve"),AND(AD40="Muy Alta",AF40="Menor"),AND(AD40="Muy Alta",AF40="Moderado"),AND(AD40="Muy Alta",AF40="Mayor")),"Alto",IF(OR(AND(AD40="Muy Baja",AF40="Catastrófico"),AND(AD40="Baja",AF40="Catastrófico"),AND(AD40="Media",AF40="Catastrófico"),AND(AD40="Alta",AF40="Catastrófico"),AND(AD40="Muy Alta",AF40="Catastrófico")),"Extremo","")))),"")</f>
        <v/>
      </c>
      <c r="AI40" s="161"/>
      <c r="AJ40" s="181"/>
      <c r="AK40" s="185"/>
      <c r="AL40" s="187"/>
      <c r="AM40" s="195"/>
      <c r="AN40" s="183"/>
      <c r="AO40" s="190"/>
      <c r="AP40" s="179"/>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row>
    <row r="41" spans="1:73" x14ac:dyDescent="0.2">
      <c r="A41" s="214"/>
      <c r="B41" s="220"/>
      <c r="C41" s="222"/>
      <c r="D41" s="183"/>
      <c r="E41" s="181"/>
      <c r="F41" s="181"/>
      <c r="G41" s="215"/>
      <c r="H41" s="181"/>
      <c r="I41" s="181"/>
      <c r="J41" s="217"/>
      <c r="K41" s="197"/>
      <c r="L41" s="185"/>
      <c r="M41" s="205"/>
      <c r="N41" s="206"/>
      <c r="O41" s="203"/>
      <c r="P41" s="204">
        <f>IF(NOT(ISERROR(MATCH(O41,_xlfn.ANCHORARRAY(I52),0))),N54&amp;"Por favor no seleccionar los criterios de impacto",O41)</f>
        <v>0</v>
      </c>
      <c r="Q41" s="205"/>
      <c r="R41" s="206"/>
      <c r="S41" s="207"/>
      <c r="T41" s="152">
        <v>6</v>
      </c>
      <c r="U41" s="160"/>
      <c r="V41" s="153" t="str">
        <f t="shared" si="32"/>
        <v/>
      </c>
      <c r="W41" s="154"/>
      <c r="X41" s="154"/>
      <c r="Y41" s="155" t="str">
        <f t="shared" si="29"/>
        <v/>
      </c>
      <c r="Z41" s="154"/>
      <c r="AA41" s="154"/>
      <c r="AB41" s="154"/>
      <c r="AC41" s="156" t="str">
        <f t="shared" si="33"/>
        <v/>
      </c>
      <c r="AD41" s="157" t="str">
        <f t="shared" si="1"/>
        <v/>
      </c>
      <c r="AE41" s="158" t="str">
        <f t="shared" si="30"/>
        <v/>
      </c>
      <c r="AF41" s="157" t="str">
        <f t="shared" si="3"/>
        <v/>
      </c>
      <c r="AG41" s="158" t="str">
        <f t="shared" si="34"/>
        <v/>
      </c>
      <c r="AH41" s="159" t="str">
        <f t="shared" si="35"/>
        <v/>
      </c>
      <c r="AI41" s="161"/>
      <c r="AJ41" s="181"/>
      <c r="AK41" s="185"/>
      <c r="AL41" s="187"/>
      <c r="AM41" s="195"/>
      <c r="AN41" s="183"/>
      <c r="AO41" s="191"/>
      <c r="AP41" s="18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row>
    <row r="42" spans="1:73" ht="117" customHeight="1" x14ac:dyDescent="0.2">
      <c r="A42" s="214">
        <v>6</v>
      </c>
      <c r="B42" s="219" t="s">
        <v>246</v>
      </c>
      <c r="C42" s="221" t="s">
        <v>273</v>
      </c>
      <c r="D42" s="184" t="s">
        <v>268</v>
      </c>
      <c r="E42" s="181" t="s">
        <v>318</v>
      </c>
      <c r="F42" s="181" t="s">
        <v>319</v>
      </c>
      <c r="G42" s="215" t="s">
        <v>320</v>
      </c>
      <c r="H42" s="181" t="s">
        <v>321</v>
      </c>
      <c r="I42" s="181" t="s">
        <v>322</v>
      </c>
      <c r="J42" s="228" t="s">
        <v>238</v>
      </c>
      <c r="K42" s="226" t="s">
        <v>242</v>
      </c>
      <c r="L42" s="199">
        <v>275</v>
      </c>
      <c r="M42" s="230" t="str">
        <f>IF(L42&lt;=0,"",IF(L42&lt;=2,"Muy Baja",IF(L42&lt;=24,"Baja",IF(L42&lt;=500,"Media",IF(L42&lt;=5000,"Alta","Muy Alta")))))</f>
        <v>Media</v>
      </c>
      <c r="N42" s="206">
        <f>IF(M42="","",IF(M42="Muy Baja",0.2,IF(M42="Baja",0.4,IF(M42="Media",0.6,IF(M42="Alta",0.8,IF(M42="Muy Alta",1,))))))</f>
        <v>0.6</v>
      </c>
      <c r="O42" s="203" t="s">
        <v>130</v>
      </c>
      <c r="P42" s="204" t="str">
        <f>IF(NOT(ISERROR(MATCH(O42,'Tabla Impacto'!$B$221:$B$223,0))),'Tabla Impacto'!$F$223&amp;"Por favor no seleccionar los criterios de impacto(Afectación Económica o presupuestal y Pérdida Reputacional)",O42)</f>
        <v xml:space="preserve">     Entre 100 y 500 SMLMV </v>
      </c>
      <c r="Q42" s="205" t="str">
        <f>IF(OR(P42='Tabla Impacto'!$C$11,P42='Tabla Impacto'!$D$11),"Leve",IF(OR(P42='Tabla Impacto'!$C$12,P42='Tabla Impacto'!$D$12),"Menor",IF(OR(P42='Tabla Impacto'!$C$13,P42='Tabla Impacto'!$D$13),"Moderado",IF(OR(P42='Tabla Impacto'!$C$14,P42='Tabla Impacto'!$D$14),"Mayor",IF(OR(P42='Tabla Impacto'!$C$15,P42='Tabla Impacto'!$D$15),"Catastrófico","")))))</f>
        <v>Mayor</v>
      </c>
      <c r="R42" s="206">
        <f>IF(Q42="","",IF(Q42="Leve",0.2,IF(Q42="Menor",0.4,IF(Q42="Moderado",0.6,IF(Q42="Mayor",0.8,IF(Q42="Catastrófico",1,))))))</f>
        <v>0.8</v>
      </c>
      <c r="S42" s="207" t="str">
        <f>IF(OR(AND(M42="Muy Baja",Q42="Leve"),AND(M42="Muy Baja",Q42="Menor"),AND(M42="Baja",Q42="Leve")),"Bajo",IF(OR(AND(M42="Muy baja",Q42="Moderado"),AND(M42="Baja",Q42="Menor"),AND(M42="Baja",Q42="Moderado"),AND(M42="Media",Q42="Leve"),AND(M42="Media",Q42="Menor"),AND(M42="Media",Q42="Moderado"),AND(M42="Alta",Q42="Leve"),AND(M42="Alta",Q42="Menor")),"Moderado",IF(OR(AND(M42="Muy Baja",Q42="Mayor"),AND(M42="Baja",Q42="Mayor"),AND(M42="Media",Q42="Mayor"),AND(M42="Alta",Q42="Moderado"),AND(M42="Alta",Q42="Mayor"),AND(M42="Muy Alta",Q42="Leve"),AND(M42="Muy Alta",Q42="Menor"),AND(M42="Muy Alta",Q42="Moderado"),AND(M42="Muy Alta",Q42="Mayor")),"Alto",IF(OR(AND(M42="Muy Baja",Q42="Catastrófico"),AND(M42="Baja",Q42="Catastrófico"),AND(M42="Media",Q42="Catastrófico"),AND(M42="Alta",Q42="Catastrófico"),AND(M42="Muy Alta",Q42="Catastrófico")),"Extremo",""))))</f>
        <v>Alto</v>
      </c>
      <c r="T42" s="152">
        <v>1</v>
      </c>
      <c r="U42" s="167" t="s">
        <v>363</v>
      </c>
      <c r="V42" s="153" t="str">
        <f>IF(OR(W42="Preventivo",W42="Detectivo"),"Probabilidad",IF(W42="Correctivo","Impacto",""))</f>
        <v>Probabilidad</v>
      </c>
      <c r="W42" s="154" t="s">
        <v>13</v>
      </c>
      <c r="X42" s="154" t="s">
        <v>8</v>
      </c>
      <c r="Y42" s="155" t="str">
        <f>IF(AND(W42="Preventivo",X42="Automático"),"50%",IF(AND(W42="Preventivo",X42="Manual"),"40%",IF(AND(W42="Detectivo",X42="Automático"),"40%",IF(AND(W42="Detectivo",X42="Manual"),"30%",IF(AND(W42="Correctivo",X42="Automático"),"35%",IF(AND(W42="Correctivo",X42="Manual"),"25%",""))))))</f>
        <v>40%</v>
      </c>
      <c r="Z42" s="154" t="s">
        <v>18</v>
      </c>
      <c r="AA42" s="154" t="s">
        <v>21</v>
      </c>
      <c r="AB42" s="154" t="s">
        <v>112</v>
      </c>
      <c r="AC42" s="156">
        <f>IFERROR(IF(V42="Probabilidad",(N42-(+N42*Y42)),IF(V42="Impacto",N42,"")),"")</f>
        <v>0.36</v>
      </c>
      <c r="AD42" s="157" t="str">
        <f>IFERROR(IF(AC42="","",IF(AC42&lt;=0.2,"Muy Baja",IF(AC42&lt;=0.4,"Baja",IF(AC42&lt;=0.6,"Media",IF(AC42&lt;=0.8,"Alta","Muy Alta"))))),"")</f>
        <v>Baja</v>
      </c>
      <c r="AE42" s="158">
        <f>+AC42</f>
        <v>0.36</v>
      </c>
      <c r="AF42" s="157" t="str">
        <f>IFERROR(IF(AG42="","",IF(AG42&lt;=0.2,"Leve",IF(AG42&lt;=0.4,"Menor",IF(AG42&lt;=0.6,"Moderado",IF(AG42&lt;=0.8,"Mayor","Catastrófico"))))),"")</f>
        <v>Mayor</v>
      </c>
      <c r="AG42" s="158">
        <f>IFERROR(IF(V42="Impacto",(R42-(+R42*Y42)),IF(V42="Probabilidad",R42,"")),"")</f>
        <v>0.8</v>
      </c>
      <c r="AH42" s="159" t="str">
        <f>IFERROR(IF(OR(AND(AD42="Muy Baja",AF42="Leve"),AND(AD42="Muy Baja",AF42="Menor"),AND(AD42="Baja",AF42="Leve")),"Bajo",IF(OR(AND(AD42="Muy baja",AF42="Moderado"),AND(AD42="Baja",AF42="Menor"),AND(AD42="Baja",AF42="Moderado"),AND(AD42="Media",AF42="Leve"),AND(AD42="Media",AF42="Menor"),AND(AD42="Media",AF42="Moderado"),AND(AD42="Alta",AF42="Leve"),AND(AD42="Alta",AF42="Menor")),"Moderado",IF(OR(AND(AD42="Muy Baja",AF42="Mayor"),AND(AD42="Baja",AF42="Mayor"),AND(AD42="Media",AF42="Mayor"),AND(AD42="Alta",AF42="Moderado"),AND(AD42="Alta",AF42="Mayor"),AND(AD42="Muy Alta",AF42="Leve"),AND(AD42="Muy Alta",AF42="Menor"),AND(AD42="Muy Alta",AF42="Moderado"),AND(AD42="Muy Alta",AF42="Mayor")),"Alto",IF(OR(AND(AD42="Muy Baja",AF42="Catastrófico"),AND(AD42="Baja",AF42="Catastrófico"),AND(AD42="Media",AF42="Catastrófico"),AND(AD42="Alta",AF42="Catastrófico"),AND(AD42="Muy Alta",AF42="Catastrófico")),"Extremo","")))),"")</f>
        <v>Alto</v>
      </c>
      <c r="AI42" s="161" t="s">
        <v>117</v>
      </c>
      <c r="AJ42" s="181" t="s">
        <v>324</v>
      </c>
      <c r="AK42" s="185" t="s">
        <v>193</v>
      </c>
      <c r="AL42" s="187">
        <v>45293</v>
      </c>
      <c r="AM42" s="195">
        <v>45653</v>
      </c>
      <c r="AN42" s="183" t="s">
        <v>284</v>
      </c>
      <c r="AO42" s="189" t="s">
        <v>269</v>
      </c>
      <c r="AP42" s="178" t="s">
        <v>369</v>
      </c>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row>
    <row r="43" spans="1:73" ht="78.75" customHeight="1" x14ac:dyDescent="0.2">
      <c r="A43" s="214"/>
      <c r="B43" s="220"/>
      <c r="C43" s="222"/>
      <c r="D43" s="183"/>
      <c r="E43" s="181"/>
      <c r="F43" s="181"/>
      <c r="G43" s="215"/>
      <c r="H43" s="181"/>
      <c r="I43" s="181"/>
      <c r="J43" s="229"/>
      <c r="K43" s="227"/>
      <c r="L43" s="200"/>
      <c r="M43" s="231"/>
      <c r="N43" s="206"/>
      <c r="O43" s="203"/>
      <c r="P43" s="204">
        <f>IF(NOT(ISERROR(MATCH(O43,_xlfn.ANCHORARRAY(I54),0))),N56&amp;"Por favor no seleccionar los criterios de impacto",O43)</f>
        <v>0</v>
      </c>
      <c r="Q43" s="205"/>
      <c r="R43" s="206"/>
      <c r="S43" s="207"/>
      <c r="T43" s="152">
        <v>2</v>
      </c>
      <c r="U43" s="167" t="s">
        <v>323</v>
      </c>
      <c r="V43" s="153" t="str">
        <f>IF(OR(W43="Preventivo",W43="Detectivo"),"Probabilidad",IF(W43="Correctivo","Impacto",""))</f>
        <v>Probabilidad</v>
      </c>
      <c r="W43" s="154" t="s">
        <v>13</v>
      </c>
      <c r="X43" s="154" t="s">
        <v>8</v>
      </c>
      <c r="Y43" s="155" t="str">
        <f t="shared" ref="Y43:Y47" si="36">IF(AND(W43="Preventivo",X43="Automático"),"50%",IF(AND(W43="Preventivo",X43="Manual"),"40%",IF(AND(W43="Detectivo",X43="Automático"),"40%",IF(AND(W43="Detectivo",X43="Manual"),"30%",IF(AND(W43="Correctivo",X43="Automático"),"35%",IF(AND(W43="Correctivo",X43="Manual"),"25%",""))))))</f>
        <v>40%</v>
      </c>
      <c r="Z43" s="154" t="s">
        <v>18</v>
      </c>
      <c r="AA43" s="154" t="s">
        <v>21</v>
      </c>
      <c r="AB43" s="154" t="s">
        <v>112</v>
      </c>
      <c r="AC43" s="156">
        <f>IFERROR(IF(AND(V42="Probabilidad",V43="Probabilidad"),(AE42-(+AE42*Y43)),IF(V43="Probabilidad",(N42-(+N42*Y43)),IF(V43="Impacto",AE42,""))),"")</f>
        <v>0.216</v>
      </c>
      <c r="AD43" s="157" t="str">
        <f t="shared" si="1"/>
        <v>Baja</v>
      </c>
      <c r="AE43" s="158">
        <f t="shared" ref="AE43:AE47" si="37">+AC43</f>
        <v>0.216</v>
      </c>
      <c r="AF43" s="157" t="str">
        <f t="shared" si="3"/>
        <v>Mayor</v>
      </c>
      <c r="AG43" s="158">
        <f>IFERROR(IF(AND(V42="Impacto",V43="Impacto"),(AG42-(+AG42*Y43)),IF(V43="Impacto",(R42-(+R42*Y43)),IF(V43="Probabilidad",AG42,""))),"")</f>
        <v>0.8</v>
      </c>
      <c r="AH43" s="159" t="str">
        <f t="shared" ref="AH43:AH44" si="38">IFERROR(IF(OR(AND(AD43="Muy Baja",AF43="Leve"),AND(AD43="Muy Baja",AF43="Menor"),AND(AD43="Baja",AF43="Leve")),"Bajo",IF(OR(AND(AD43="Muy baja",AF43="Moderado"),AND(AD43="Baja",AF43="Menor"),AND(AD43="Baja",AF43="Moderado"),AND(AD43="Media",AF43="Leve"),AND(AD43="Media",AF43="Menor"),AND(AD43="Media",AF43="Moderado"),AND(AD43="Alta",AF43="Leve"),AND(AD43="Alta",AF43="Menor")),"Moderado",IF(OR(AND(AD43="Muy Baja",AF43="Mayor"),AND(AD43="Baja",AF43="Mayor"),AND(AD43="Media",AF43="Mayor"),AND(AD43="Alta",AF43="Moderado"),AND(AD43="Alta",AF43="Mayor"),AND(AD43="Muy Alta",AF43="Leve"),AND(AD43="Muy Alta",AF43="Menor"),AND(AD43="Muy Alta",AF43="Moderado"),AND(AD43="Muy Alta",AF43="Mayor")),"Alto",IF(OR(AND(AD43="Muy Baja",AF43="Catastrófico"),AND(AD43="Baja",AF43="Catastrófico"),AND(AD43="Media",AF43="Catastrófico"),AND(AD43="Alta",AF43="Catastrófico"),AND(AD43="Muy Alta",AF43="Catastrófico")),"Extremo","")))),"")</f>
        <v>Alto</v>
      </c>
      <c r="AI43" s="161" t="s">
        <v>117</v>
      </c>
      <c r="AJ43" s="181"/>
      <c r="AK43" s="185"/>
      <c r="AL43" s="187"/>
      <c r="AM43" s="195"/>
      <c r="AN43" s="183"/>
      <c r="AO43" s="190"/>
      <c r="AP43" s="179"/>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row>
    <row r="44" spans="1:73" ht="15" customHeight="1" x14ac:dyDescent="0.2">
      <c r="A44" s="214"/>
      <c r="B44" s="220"/>
      <c r="C44" s="222"/>
      <c r="D44" s="183"/>
      <c r="E44" s="181"/>
      <c r="F44" s="181"/>
      <c r="G44" s="215"/>
      <c r="H44" s="181"/>
      <c r="I44" s="181"/>
      <c r="J44" s="229"/>
      <c r="K44" s="227"/>
      <c r="L44" s="200"/>
      <c r="M44" s="231"/>
      <c r="N44" s="206"/>
      <c r="O44" s="203"/>
      <c r="P44" s="204">
        <f>IF(NOT(ISERROR(MATCH(O44,_xlfn.ANCHORARRAY(I55),0))),N57&amp;"Por favor no seleccionar los criterios de impacto",O44)</f>
        <v>0</v>
      </c>
      <c r="Q44" s="205"/>
      <c r="R44" s="206"/>
      <c r="S44" s="207"/>
      <c r="T44" s="152">
        <v>3</v>
      </c>
      <c r="U44" s="166"/>
      <c r="V44" s="153" t="str">
        <f>IF(OR(W44="Preventivo",W44="Detectivo"),"Probabilidad",IF(W44="Correctivo","Impacto",""))</f>
        <v/>
      </c>
      <c r="W44" s="154"/>
      <c r="X44" s="154"/>
      <c r="Y44" s="155" t="str">
        <f t="shared" si="36"/>
        <v/>
      </c>
      <c r="Z44" s="154"/>
      <c r="AA44" s="154"/>
      <c r="AB44" s="154"/>
      <c r="AC44" s="156" t="str">
        <f>IFERROR(IF(AND(V43="Probabilidad",V44="Probabilidad"),(AE43-(+AE43*Y44)),IF(AND(V43="Impacto",V44="Probabilidad"),(AE42-(+AE42*Y44)),IF(V44="Impacto",AE43,""))),"")</f>
        <v/>
      </c>
      <c r="AD44" s="157" t="str">
        <f t="shared" si="1"/>
        <v/>
      </c>
      <c r="AE44" s="158" t="str">
        <f t="shared" si="37"/>
        <v/>
      </c>
      <c r="AF44" s="157" t="str">
        <f t="shared" si="3"/>
        <v/>
      </c>
      <c r="AG44" s="158" t="str">
        <f>IFERROR(IF(AND(V43="Impacto",V44="Impacto"),(AG43-(+AG43*Y44)),IF(AND(V43="Probabilidad",V44="Impacto"),(AG42-(+AG42*Y44)),IF(V44="Probabilidad",AG43,""))),"")</f>
        <v/>
      </c>
      <c r="AH44" s="159" t="str">
        <f t="shared" si="38"/>
        <v/>
      </c>
      <c r="AI44" s="161"/>
      <c r="AJ44" s="181"/>
      <c r="AK44" s="185"/>
      <c r="AL44" s="187"/>
      <c r="AM44" s="195"/>
      <c r="AN44" s="183"/>
      <c r="AO44" s="190"/>
      <c r="AP44" s="179"/>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row>
    <row r="45" spans="1:73" ht="15" customHeight="1" x14ac:dyDescent="0.2">
      <c r="A45" s="214"/>
      <c r="B45" s="220"/>
      <c r="C45" s="222"/>
      <c r="D45" s="183"/>
      <c r="E45" s="181"/>
      <c r="F45" s="181"/>
      <c r="G45" s="215"/>
      <c r="H45" s="181"/>
      <c r="I45" s="181"/>
      <c r="J45" s="229"/>
      <c r="K45" s="227"/>
      <c r="L45" s="200"/>
      <c r="M45" s="231"/>
      <c r="N45" s="206"/>
      <c r="O45" s="203"/>
      <c r="P45" s="204">
        <f>IF(NOT(ISERROR(MATCH(O45,_xlfn.ANCHORARRAY(I56),0))),N58&amp;"Por favor no seleccionar los criterios de impacto",O45)</f>
        <v>0</v>
      </c>
      <c r="Q45" s="205"/>
      <c r="R45" s="206"/>
      <c r="S45" s="207"/>
      <c r="T45" s="152">
        <v>4</v>
      </c>
      <c r="U45" s="166"/>
      <c r="V45" s="153" t="str">
        <f t="shared" ref="V45:V47" si="39">IF(OR(W45="Preventivo",W45="Detectivo"),"Probabilidad",IF(W45="Correctivo","Impacto",""))</f>
        <v/>
      </c>
      <c r="W45" s="154"/>
      <c r="X45" s="154"/>
      <c r="Y45" s="155" t="str">
        <f t="shared" si="36"/>
        <v/>
      </c>
      <c r="Z45" s="154"/>
      <c r="AA45" s="154"/>
      <c r="AB45" s="154"/>
      <c r="AC45" s="156" t="str">
        <f t="shared" ref="AC45:AC47" si="40">IFERROR(IF(AND(V44="Probabilidad",V45="Probabilidad"),(AE44-(+AE44*Y45)),IF(AND(V44="Impacto",V45="Probabilidad"),(AE43-(+AE43*Y45)),IF(V45="Impacto",AE44,""))),"")</f>
        <v/>
      </c>
      <c r="AD45" s="157" t="str">
        <f t="shared" si="1"/>
        <v/>
      </c>
      <c r="AE45" s="158" t="str">
        <f t="shared" si="37"/>
        <v/>
      </c>
      <c r="AF45" s="157" t="str">
        <f t="shared" si="3"/>
        <v/>
      </c>
      <c r="AG45" s="158" t="str">
        <f t="shared" ref="AG45:AG47" si="41">IFERROR(IF(AND(V44="Impacto",V45="Impacto"),(AG44-(+AG44*Y45)),IF(AND(V44="Probabilidad",V45="Impacto"),(AG43-(+AG43*Y45)),IF(V45="Probabilidad",AG44,""))),"")</f>
        <v/>
      </c>
      <c r="AH45" s="159" t="str">
        <f>IFERROR(IF(OR(AND(AD45="Muy Baja",AF45="Leve"),AND(AD45="Muy Baja",AF45="Menor"),AND(AD45="Baja",AF45="Leve")),"Bajo",IF(OR(AND(AD45="Muy baja",AF45="Moderado"),AND(AD45="Baja",AF45="Menor"),AND(AD45="Baja",AF45="Moderado"),AND(AD45="Media",AF45="Leve"),AND(AD45="Media",AF45="Menor"),AND(AD45="Media",AF45="Moderado"),AND(AD45="Alta",AF45="Leve"),AND(AD45="Alta",AF45="Menor")),"Moderado",IF(OR(AND(AD45="Muy Baja",AF45="Mayor"),AND(AD45="Baja",AF45="Mayor"),AND(AD45="Media",AF45="Mayor"),AND(AD45="Alta",AF45="Moderado"),AND(AD45="Alta",AF45="Mayor"),AND(AD45="Muy Alta",AF45="Leve"),AND(AD45="Muy Alta",AF45="Menor"),AND(AD45="Muy Alta",AF45="Moderado"),AND(AD45="Muy Alta",AF45="Mayor")),"Alto",IF(OR(AND(AD45="Muy Baja",AF45="Catastrófico"),AND(AD45="Baja",AF45="Catastrófico"),AND(AD45="Media",AF45="Catastrófico"),AND(AD45="Alta",AF45="Catastrófico"),AND(AD45="Muy Alta",AF45="Catastrófico")),"Extremo","")))),"")</f>
        <v/>
      </c>
      <c r="AI45" s="161"/>
      <c r="AJ45" s="181"/>
      <c r="AK45" s="185"/>
      <c r="AL45" s="187"/>
      <c r="AM45" s="195"/>
      <c r="AN45" s="183"/>
      <c r="AO45" s="190"/>
      <c r="AP45" s="179"/>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row>
    <row r="46" spans="1:73" ht="15" customHeight="1" x14ac:dyDescent="0.2">
      <c r="A46" s="214"/>
      <c r="B46" s="220"/>
      <c r="C46" s="222"/>
      <c r="D46" s="183"/>
      <c r="E46" s="181"/>
      <c r="F46" s="181"/>
      <c r="G46" s="215"/>
      <c r="H46" s="181"/>
      <c r="I46" s="181"/>
      <c r="J46" s="229"/>
      <c r="K46" s="227"/>
      <c r="L46" s="200"/>
      <c r="M46" s="231"/>
      <c r="N46" s="206"/>
      <c r="O46" s="203"/>
      <c r="P46" s="204">
        <f>IF(NOT(ISERROR(MATCH(O46,_xlfn.ANCHORARRAY(I57),0))),N59&amp;"Por favor no seleccionar los criterios de impacto",O46)</f>
        <v>0</v>
      </c>
      <c r="Q46" s="205"/>
      <c r="R46" s="206"/>
      <c r="S46" s="207"/>
      <c r="T46" s="152">
        <v>5</v>
      </c>
      <c r="U46" s="166"/>
      <c r="V46" s="153" t="str">
        <f t="shared" si="39"/>
        <v/>
      </c>
      <c r="W46" s="154"/>
      <c r="X46" s="154"/>
      <c r="Y46" s="155" t="str">
        <f t="shared" si="36"/>
        <v/>
      </c>
      <c r="Z46" s="154"/>
      <c r="AA46" s="154"/>
      <c r="AB46" s="154"/>
      <c r="AC46" s="156" t="str">
        <f t="shared" si="40"/>
        <v/>
      </c>
      <c r="AD46" s="157" t="str">
        <f t="shared" si="1"/>
        <v/>
      </c>
      <c r="AE46" s="158" t="str">
        <f t="shared" si="37"/>
        <v/>
      </c>
      <c r="AF46" s="157" t="str">
        <f t="shared" si="3"/>
        <v/>
      </c>
      <c r="AG46" s="158" t="str">
        <f t="shared" si="41"/>
        <v/>
      </c>
      <c r="AH46" s="159" t="str">
        <f t="shared" ref="AH46" si="42">IFERROR(IF(OR(AND(AD46="Muy Baja",AF46="Leve"),AND(AD46="Muy Baja",AF46="Menor"),AND(AD46="Baja",AF46="Leve")),"Bajo",IF(OR(AND(AD46="Muy baja",AF46="Moderado"),AND(AD46="Baja",AF46="Menor"),AND(AD46="Baja",AF46="Moderado"),AND(AD46="Media",AF46="Leve"),AND(AD46="Media",AF46="Menor"),AND(AD46="Media",AF46="Moderado"),AND(AD46="Alta",AF46="Leve"),AND(AD46="Alta",AF46="Menor")),"Moderado",IF(OR(AND(AD46="Muy Baja",AF46="Mayor"),AND(AD46="Baja",AF46="Mayor"),AND(AD46="Media",AF46="Mayor"),AND(AD46="Alta",AF46="Moderado"),AND(AD46="Alta",AF46="Mayor"),AND(AD46="Muy Alta",AF46="Leve"),AND(AD46="Muy Alta",AF46="Menor"),AND(AD46="Muy Alta",AF46="Moderado"),AND(AD46="Muy Alta",AF46="Mayor")),"Alto",IF(OR(AND(AD46="Muy Baja",AF46="Catastrófico"),AND(AD46="Baja",AF46="Catastrófico"),AND(AD46="Media",AF46="Catastrófico"),AND(AD46="Alta",AF46="Catastrófico"),AND(AD46="Muy Alta",AF46="Catastrófico")),"Extremo","")))),"")</f>
        <v/>
      </c>
      <c r="AI46" s="161"/>
      <c r="AJ46" s="181"/>
      <c r="AK46" s="185"/>
      <c r="AL46" s="187"/>
      <c r="AM46" s="195"/>
      <c r="AN46" s="183"/>
      <c r="AO46" s="190"/>
      <c r="AP46" s="179"/>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row>
    <row r="47" spans="1:73" ht="19.5" customHeight="1" x14ac:dyDescent="0.2">
      <c r="A47" s="214"/>
      <c r="B47" s="220"/>
      <c r="C47" s="222"/>
      <c r="D47" s="183"/>
      <c r="E47" s="181"/>
      <c r="F47" s="181"/>
      <c r="G47" s="215"/>
      <c r="H47" s="181"/>
      <c r="I47" s="181"/>
      <c r="J47" s="218"/>
      <c r="K47" s="184"/>
      <c r="L47" s="186"/>
      <c r="M47" s="213"/>
      <c r="N47" s="206"/>
      <c r="O47" s="203"/>
      <c r="P47" s="204">
        <f>IF(NOT(ISERROR(MATCH(O47,_xlfn.ANCHORARRAY(I58),0))),N60&amp;"Por favor no seleccionar los criterios de impacto",O47)</f>
        <v>0</v>
      </c>
      <c r="Q47" s="205"/>
      <c r="R47" s="206"/>
      <c r="S47" s="207"/>
      <c r="T47" s="152">
        <v>6</v>
      </c>
      <c r="U47" s="160"/>
      <c r="V47" s="153" t="str">
        <f t="shared" si="39"/>
        <v/>
      </c>
      <c r="W47" s="154"/>
      <c r="X47" s="154"/>
      <c r="Y47" s="155" t="str">
        <f t="shared" si="36"/>
        <v/>
      </c>
      <c r="Z47" s="154"/>
      <c r="AA47" s="154"/>
      <c r="AB47" s="154"/>
      <c r="AC47" s="156" t="str">
        <f t="shared" si="40"/>
        <v/>
      </c>
      <c r="AD47" s="157" t="str">
        <f t="shared" si="1"/>
        <v/>
      </c>
      <c r="AE47" s="158" t="str">
        <f t="shared" si="37"/>
        <v/>
      </c>
      <c r="AF47" s="157" t="str">
        <f>IFERROR(IF(AG47="","",IF(AG47&lt;=0.2,"Leve",IF(AG47&lt;=0.4,"Menor",IF(AG47&lt;=0.6,"Moderado",IF(AG47&lt;=0.8,"Mayor","Catastrófico"))))),"")</f>
        <v/>
      </c>
      <c r="AG47" s="158" t="str">
        <f t="shared" si="41"/>
        <v/>
      </c>
      <c r="AH47" s="159" t="str">
        <f>IFERROR(IF(OR(AND(AD47="Muy Baja",AF47="Leve"),AND(AD47="Muy Baja",AF47="Menor"),AND(AD47="Baja",AF47="Leve")),"Bajo",IF(OR(AND(AD47="Muy baja",AF47="Moderado"),AND(AD47="Baja",AF47="Menor"),AND(AD47="Baja",AF47="Moderado"),AND(AD47="Media",AF47="Leve"),AND(AD47="Media",AF47="Menor"),AND(AD47="Media",AF47="Moderado"),AND(AD47="Alta",AF47="Leve"),AND(AD47="Alta",AF47="Menor")),"Moderado",IF(OR(AND(AD47="Muy Baja",AF47="Mayor"),AND(AD47="Baja",AF47="Mayor"),AND(AD47="Media",AF47="Mayor"),AND(AD47="Alta",AF47="Moderado"),AND(AD47="Alta",AF47="Mayor"),AND(AD47="Muy Alta",AF47="Leve"),AND(AD47="Muy Alta",AF47="Menor"),AND(AD47="Muy Alta",AF47="Moderado"),AND(AD47="Muy Alta",AF47="Mayor")),"Alto",IF(OR(AND(AD47="Muy Baja",AF47="Catastrófico"),AND(AD47="Baja",AF47="Catastrófico"),AND(AD47="Media",AF47="Catastrófico"),AND(AD47="Alta",AF47="Catastrófico"),AND(AD47="Muy Alta",AF47="Catastrófico")),"Extremo","")))),"")</f>
        <v/>
      </c>
      <c r="AI47" s="161"/>
      <c r="AJ47" s="181"/>
      <c r="AK47" s="185"/>
      <c r="AL47" s="187"/>
      <c r="AM47" s="195"/>
      <c r="AN47" s="183"/>
      <c r="AO47" s="191"/>
      <c r="AP47" s="18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row>
    <row r="48" spans="1:73" ht="119.25" customHeight="1" x14ac:dyDescent="0.2">
      <c r="A48" s="214">
        <v>7</v>
      </c>
      <c r="B48" s="219" t="s">
        <v>246</v>
      </c>
      <c r="C48" s="221" t="s">
        <v>273</v>
      </c>
      <c r="D48" s="181" t="s">
        <v>325</v>
      </c>
      <c r="E48" s="181" t="s">
        <v>365</v>
      </c>
      <c r="F48" s="181" t="s">
        <v>326</v>
      </c>
      <c r="G48" s="215" t="s">
        <v>327</v>
      </c>
      <c r="H48" s="181" t="s">
        <v>366</v>
      </c>
      <c r="I48" s="181" t="s">
        <v>367</v>
      </c>
      <c r="J48" s="217" t="s">
        <v>235</v>
      </c>
      <c r="K48" s="183" t="s">
        <v>227</v>
      </c>
      <c r="L48" s="185">
        <v>108</v>
      </c>
      <c r="M48" s="205" t="str">
        <f>IF(L48&lt;=0,"",IF(L48&lt;=2,"Muy Baja",IF(L48&lt;=24,"Baja",IF(L48&lt;=500,"Media",IF(L48&lt;=5000,"Alta","Muy Alta")))))</f>
        <v>Media</v>
      </c>
      <c r="N48" s="206">
        <f>IF(M48="","",IF(M48="Muy Baja",0.2,IF(M48="Baja",0.4,IF(M48="Media",0.6,IF(M48="Alta",0.8,IF(M48="Muy Alta",1,))))))</f>
        <v>0.6</v>
      </c>
      <c r="O48" s="203" t="s">
        <v>130</v>
      </c>
      <c r="P48" s="204" t="str">
        <f>IF(NOT(ISERROR(MATCH(O48,'Tabla Impacto'!$B$221:$B$223,0))),'Tabla Impacto'!$F$223&amp;"Por favor no seleccionar los criterios de impacto(Afectación Económica o presupuestal y Pérdida Reputacional)",O48)</f>
        <v xml:space="preserve">     Entre 100 y 500 SMLMV </v>
      </c>
      <c r="Q48" s="205" t="str">
        <f>IF(OR(P48='Tabla Impacto'!$C$11,P48='Tabla Impacto'!$D$11),"Leve",IF(OR(P48='Tabla Impacto'!$C$12,P48='Tabla Impacto'!$D$12),"Menor",IF(OR(P48='Tabla Impacto'!$C$13,P48='Tabla Impacto'!$D$13),"Moderado",IF(OR(P48='Tabla Impacto'!$C$14,P48='Tabla Impacto'!$D$14),"Mayor",IF(OR(P48='Tabla Impacto'!$C$15,P48='Tabla Impacto'!$D$15),"Catastrófico","")))))</f>
        <v>Mayor</v>
      </c>
      <c r="R48" s="206">
        <f>IF(Q48="","",IF(Q48="Leve",0.2,IF(Q48="Menor",0.4,IF(Q48="Moderado",0.6,IF(Q48="Mayor",0.8,IF(Q48="Catastrófico",1,))))))</f>
        <v>0.8</v>
      </c>
      <c r="S48" s="207" t="str">
        <f>IF(OR(AND(M48="Muy Baja",Q48="Leve"),AND(M48="Muy Baja",Q48="Menor"),AND(M48="Baja",Q48="Leve")),"Bajo",IF(OR(AND(M48="Muy baja",Q48="Moderado"),AND(M48="Baja",Q48="Menor"),AND(M48="Baja",Q48="Moderado"),AND(M48="Media",Q48="Leve"),AND(M48="Media",Q48="Menor"),AND(M48="Media",Q48="Moderado"),AND(M48="Alta",Q48="Leve"),AND(M48="Alta",Q48="Menor")),"Moderado",IF(OR(AND(M48="Muy Baja",Q48="Mayor"),AND(M48="Baja",Q48="Mayor"),AND(M48="Media",Q48="Mayor"),AND(M48="Alta",Q48="Moderado"),AND(M48="Alta",Q48="Mayor"),AND(M48="Muy Alta",Q48="Leve"),AND(M48="Muy Alta",Q48="Menor"),AND(M48="Muy Alta",Q48="Moderado"),AND(M48="Muy Alta",Q48="Mayor")),"Alto",IF(OR(AND(M48="Muy Baja",Q48="Catastrófico"),AND(M48="Baja",Q48="Catastrófico"),AND(M48="Media",Q48="Catastrófico"),AND(M48="Alta",Q48="Catastrófico"),AND(M48="Muy Alta",Q48="Catastrófico")),"Extremo",""))))</f>
        <v>Alto</v>
      </c>
      <c r="T48" s="152">
        <v>1</v>
      </c>
      <c r="U48" s="169" t="s">
        <v>330</v>
      </c>
      <c r="V48" s="153" t="str">
        <f>IF(OR(W48="Preventivo",W48="Detectivo"),"Probabilidad",IF(W48="Correctivo","Impacto",""))</f>
        <v>Probabilidad</v>
      </c>
      <c r="W48" s="139" t="s">
        <v>13</v>
      </c>
      <c r="X48" s="154" t="s">
        <v>8</v>
      </c>
      <c r="Y48" s="155" t="str">
        <f>IF(AND(W48="Preventivo",X48="Automático"),"50%",IF(AND(W48="Preventivo",X48="Manual"),"40%",IF(AND(W48="Detectivo",X48="Automático"),"40%",IF(AND(W48="Detectivo",X48="Manual"),"30%",IF(AND(W48="Correctivo",X48="Automático"),"35%",IF(AND(W48="Correctivo",X48="Manual"),"25%",""))))))</f>
        <v>40%</v>
      </c>
      <c r="Z48" s="154" t="s">
        <v>18</v>
      </c>
      <c r="AA48" s="154" t="s">
        <v>21</v>
      </c>
      <c r="AB48" s="154" t="s">
        <v>112</v>
      </c>
      <c r="AC48" s="156">
        <f>IFERROR(IF(V48="Probabilidad",(N48-(+N48*Y48)),IF(V48="Impacto",N48,"")),"")</f>
        <v>0.36</v>
      </c>
      <c r="AD48" s="157" t="str">
        <f>IFERROR(IF(AC48="","",IF(AC48&lt;=0.2,"Muy Baja",IF(AC48&lt;=0.4,"Baja",IF(AC48&lt;=0.6,"Media",IF(AC48&lt;=0.8,"Alta","Muy Alta"))))),"")</f>
        <v>Baja</v>
      </c>
      <c r="AE48" s="158">
        <f>+AC48</f>
        <v>0.36</v>
      </c>
      <c r="AF48" s="157" t="str">
        <f>IFERROR(IF(AG48="","",IF(AG48&lt;=0.2,"Leve",IF(AG48&lt;=0.4,"Menor",IF(AG48&lt;=0.6,"Moderado",IF(AG48&lt;=0.8,"Mayor","Catastrófico"))))),"")</f>
        <v>Mayor</v>
      </c>
      <c r="AG48" s="158">
        <f>IFERROR(IF(V48="Impacto",(R48-(+R48*Y48)),IF(V48="Probabilidad",R48,"")),"")</f>
        <v>0.8</v>
      </c>
      <c r="AH48" s="159" t="str">
        <f>IFERROR(IF(OR(AND(AD48="Muy Baja",AF48="Leve"),AND(AD48="Muy Baja",AF48="Menor"),AND(AD48="Baja",AF48="Leve")),"Bajo",IF(OR(AND(AD48="Muy baja",AF48="Moderado"),AND(AD48="Baja",AF48="Menor"),AND(AD48="Baja",AF48="Moderado"),AND(AD48="Media",AF48="Leve"),AND(AD48="Media",AF48="Menor"),AND(AD48="Media",AF48="Moderado"),AND(AD48="Alta",AF48="Leve"),AND(AD48="Alta",AF48="Menor")),"Moderado",IF(OR(AND(AD48="Muy Baja",AF48="Mayor"),AND(AD48="Baja",AF48="Mayor"),AND(AD48="Media",AF48="Mayor"),AND(AD48="Alta",AF48="Moderado"),AND(AD48="Alta",AF48="Mayor"),AND(AD48="Muy Alta",AF48="Leve"),AND(AD48="Muy Alta",AF48="Menor"),AND(AD48="Muy Alta",AF48="Moderado"),AND(AD48="Muy Alta",AF48="Mayor")),"Alto",IF(OR(AND(AD48="Muy Baja",AF48="Catastrófico"),AND(AD48="Baja",AF48="Catastrófico"),AND(AD48="Media",AF48="Catastrófico"),AND(AD48="Alta",AF48="Catastrófico"),AND(AD48="Muy Alta",AF48="Catastrófico")),"Extremo","")))),"")</f>
        <v>Alto</v>
      </c>
      <c r="AI48" s="161" t="s">
        <v>117</v>
      </c>
      <c r="AJ48" s="181" t="s">
        <v>334</v>
      </c>
      <c r="AK48" s="186" t="s">
        <v>193</v>
      </c>
      <c r="AL48" s="188">
        <v>45293</v>
      </c>
      <c r="AM48" s="194">
        <v>45653</v>
      </c>
      <c r="AN48" s="184" t="s">
        <v>284</v>
      </c>
      <c r="AO48" s="190" t="s">
        <v>269</v>
      </c>
      <c r="AP48" s="181" t="s">
        <v>335</v>
      </c>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row>
    <row r="49" spans="1:73" ht="87.75" customHeight="1" x14ac:dyDescent="0.2">
      <c r="A49" s="214"/>
      <c r="B49" s="220"/>
      <c r="C49" s="222"/>
      <c r="D49" s="181"/>
      <c r="E49" s="181"/>
      <c r="F49" s="181"/>
      <c r="G49" s="215"/>
      <c r="H49" s="181"/>
      <c r="I49" s="181"/>
      <c r="J49" s="217"/>
      <c r="K49" s="183"/>
      <c r="L49" s="185"/>
      <c r="M49" s="205"/>
      <c r="N49" s="206"/>
      <c r="O49" s="203"/>
      <c r="P49" s="204">
        <f>IF(NOT(ISERROR(MATCH(O49,_xlfn.ANCHORARRAY(I60),0))),N62&amp;"Por favor no seleccionar los criterios de impacto",O49)</f>
        <v>0</v>
      </c>
      <c r="Q49" s="205"/>
      <c r="R49" s="206"/>
      <c r="S49" s="207"/>
      <c r="T49" s="152">
        <v>2</v>
      </c>
      <c r="U49" s="167" t="s">
        <v>328</v>
      </c>
      <c r="V49" s="153" t="str">
        <f>IF(OR(W49="Preventivo",W49="Detectivo"),"Probabilidad",IF(W49="Correctivo","Impacto",""))</f>
        <v>Probabilidad</v>
      </c>
      <c r="W49" s="139" t="s">
        <v>13</v>
      </c>
      <c r="X49" s="154" t="s">
        <v>8</v>
      </c>
      <c r="Y49" s="155" t="str">
        <f t="shared" ref="Y49:Y53" si="43">IF(AND(W49="Preventivo",X49="Automático"),"50%",IF(AND(W49="Preventivo",X49="Manual"),"40%",IF(AND(W49="Detectivo",X49="Automático"),"40%",IF(AND(W49="Detectivo",X49="Manual"),"30%",IF(AND(W49="Correctivo",X49="Automático"),"35%",IF(AND(W49="Correctivo",X49="Manual"),"25%",""))))))</f>
        <v>40%</v>
      </c>
      <c r="Z49" s="154" t="s">
        <v>18</v>
      </c>
      <c r="AA49" s="154" t="s">
        <v>21</v>
      </c>
      <c r="AB49" s="154" t="s">
        <v>112</v>
      </c>
      <c r="AC49" s="156">
        <f>IFERROR(IF(AND(V48="Probabilidad",V49="Probabilidad"),(AE48-(+AE48*Y49)),IF(V49="Probabilidad",(N48-(+N48*Y49)),IF(V49="Impacto",AE48,""))),"")</f>
        <v>0.216</v>
      </c>
      <c r="AD49" s="157" t="str">
        <f t="shared" si="1"/>
        <v>Baja</v>
      </c>
      <c r="AE49" s="158">
        <f t="shared" ref="AE49:AE53" si="44">+AC49</f>
        <v>0.216</v>
      </c>
      <c r="AF49" s="157" t="str">
        <f t="shared" si="3"/>
        <v>Mayor</v>
      </c>
      <c r="AG49" s="158">
        <f>IFERROR(IF(AND(V48="Impacto",V49="Impacto"),(AG48-(+AG48*Y49)),IF(V49="Impacto",(R48-(+R48*Y49)),IF(V49="Probabilidad",AG48,""))),"")</f>
        <v>0.8</v>
      </c>
      <c r="AH49" s="159" t="str">
        <f t="shared" ref="AH49:AH50" si="45">IFERROR(IF(OR(AND(AD49="Muy Baja",AF49="Leve"),AND(AD49="Muy Baja",AF49="Menor"),AND(AD49="Baja",AF49="Leve")),"Bajo",IF(OR(AND(AD49="Muy baja",AF49="Moderado"),AND(AD49="Baja",AF49="Menor"),AND(AD49="Baja",AF49="Moderado"),AND(AD49="Media",AF49="Leve"),AND(AD49="Media",AF49="Menor"),AND(AD49="Media",AF49="Moderado"),AND(AD49="Alta",AF49="Leve"),AND(AD49="Alta",AF49="Menor")),"Moderado",IF(OR(AND(AD49="Muy Baja",AF49="Mayor"),AND(AD49="Baja",AF49="Mayor"),AND(AD49="Media",AF49="Mayor"),AND(AD49="Alta",AF49="Moderado"),AND(AD49="Alta",AF49="Mayor"),AND(AD49="Muy Alta",AF49="Leve"),AND(AD49="Muy Alta",AF49="Menor"),AND(AD49="Muy Alta",AF49="Moderado"),AND(AD49="Muy Alta",AF49="Mayor")),"Alto",IF(OR(AND(AD49="Muy Baja",AF49="Catastrófico"),AND(AD49="Baja",AF49="Catastrófico"),AND(AD49="Media",AF49="Catastrófico"),AND(AD49="Alta",AF49="Catastrófico"),AND(AD49="Muy Alta",AF49="Catastrófico")),"Extremo","")))),"")</f>
        <v>Alto</v>
      </c>
      <c r="AI49" s="161" t="s">
        <v>117</v>
      </c>
      <c r="AJ49" s="181"/>
      <c r="AK49" s="185"/>
      <c r="AL49" s="187"/>
      <c r="AM49" s="195"/>
      <c r="AN49" s="183"/>
      <c r="AO49" s="190"/>
      <c r="AP49" s="181"/>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row>
    <row r="50" spans="1:73" ht="102" customHeight="1" x14ac:dyDescent="0.2">
      <c r="A50" s="214"/>
      <c r="B50" s="220"/>
      <c r="C50" s="222"/>
      <c r="D50" s="181"/>
      <c r="E50" s="181"/>
      <c r="F50" s="181"/>
      <c r="G50" s="215"/>
      <c r="H50" s="181"/>
      <c r="I50" s="181"/>
      <c r="J50" s="217"/>
      <c r="K50" s="183"/>
      <c r="L50" s="185"/>
      <c r="M50" s="205"/>
      <c r="N50" s="206"/>
      <c r="O50" s="203"/>
      <c r="P50" s="204">
        <f>IF(NOT(ISERROR(MATCH(O50,_xlfn.ANCHORARRAY(I61),0))),N63&amp;"Por favor no seleccionar los criterios de impacto",O50)</f>
        <v>0</v>
      </c>
      <c r="Q50" s="205"/>
      <c r="R50" s="206"/>
      <c r="S50" s="207"/>
      <c r="T50" s="152">
        <v>3</v>
      </c>
      <c r="U50" s="170" t="s">
        <v>331</v>
      </c>
      <c r="V50" s="153" t="str">
        <f>IF(OR(W50="Preventivo",W50="Detectivo"),"Probabilidad",IF(W50="Correctivo","Impacto",""))</f>
        <v>Probabilidad</v>
      </c>
      <c r="W50" s="139" t="s">
        <v>13</v>
      </c>
      <c r="X50" s="154" t="s">
        <v>8</v>
      </c>
      <c r="Y50" s="155" t="str">
        <f t="shared" si="43"/>
        <v>40%</v>
      </c>
      <c r="Z50" s="154" t="s">
        <v>18</v>
      </c>
      <c r="AA50" s="154" t="s">
        <v>21</v>
      </c>
      <c r="AB50" s="154" t="s">
        <v>112</v>
      </c>
      <c r="AC50" s="156">
        <f>IFERROR(IF(AND(V49="Probabilidad",V50="Probabilidad"),(AE49-(+AE49*Y50)),IF(AND(V49="Impacto",V50="Probabilidad"),(AE48-(+AE48*Y50)),IF(V50="Impacto",AE49,""))),"")</f>
        <v>0.12959999999999999</v>
      </c>
      <c r="AD50" s="157" t="str">
        <f t="shared" si="1"/>
        <v>Muy Baja</v>
      </c>
      <c r="AE50" s="158">
        <f t="shared" si="44"/>
        <v>0.12959999999999999</v>
      </c>
      <c r="AF50" s="157" t="str">
        <f t="shared" si="3"/>
        <v>Mayor</v>
      </c>
      <c r="AG50" s="158">
        <f>IFERROR(IF(AND(V49="Impacto",V50="Impacto"),(AG49-(+AG49*Y50)),IF(AND(V49="Probabilidad",V50="Impacto"),(AG48-(+AG48*Y50)),IF(V50="Probabilidad",AG49,""))),"")</f>
        <v>0.8</v>
      </c>
      <c r="AH50" s="159" t="str">
        <f t="shared" si="45"/>
        <v>Alto</v>
      </c>
      <c r="AI50" s="161" t="s">
        <v>117</v>
      </c>
      <c r="AJ50" s="181"/>
      <c r="AK50" s="185"/>
      <c r="AL50" s="187"/>
      <c r="AM50" s="195"/>
      <c r="AN50" s="183"/>
      <c r="AO50" s="190"/>
      <c r="AP50" s="181"/>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row>
    <row r="51" spans="1:73" ht="107.25" customHeight="1" x14ac:dyDescent="0.2">
      <c r="A51" s="214"/>
      <c r="B51" s="220"/>
      <c r="C51" s="222"/>
      <c r="D51" s="181"/>
      <c r="E51" s="181"/>
      <c r="F51" s="181"/>
      <c r="G51" s="215"/>
      <c r="H51" s="181"/>
      <c r="I51" s="181"/>
      <c r="J51" s="217"/>
      <c r="K51" s="183"/>
      <c r="L51" s="185"/>
      <c r="M51" s="205"/>
      <c r="N51" s="206"/>
      <c r="O51" s="203"/>
      <c r="P51" s="204">
        <f>IF(NOT(ISERROR(MATCH(O51,_xlfn.ANCHORARRAY(I62),0))),N64&amp;"Por favor no seleccionar los criterios de impacto",O51)</f>
        <v>0</v>
      </c>
      <c r="Q51" s="205"/>
      <c r="R51" s="206"/>
      <c r="S51" s="207"/>
      <c r="T51" s="152">
        <v>4</v>
      </c>
      <c r="U51" s="170" t="s">
        <v>332</v>
      </c>
      <c r="V51" s="153" t="str">
        <f t="shared" ref="V51:V53" si="46">IF(OR(W51="Preventivo",W51="Detectivo"),"Probabilidad",IF(W51="Correctivo","Impacto",""))</f>
        <v>Probabilidad</v>
      </c>
      <c r="W51" s="139" t="s">
        <v>14</v>
      </c>
      <c r="X51" s="154" t="s">
        <v>8</v>
      </c>
      <c r="Y51" s="155" t="str">
        <f t="shared" si="43"/>
        <v>30%</v>
      </c>
      <c r="Z51" s="154" t="s">
        <v>18</v>
      </c>
      <c r="AA51" s="154" t="s">
        <v>21</v>
      </c>
      <c r="AB51" s="154" t="s">
        <v>112</v>
      </c>
      <c r="AC51" s="156">
        <f t="shared" ref="AC51:AC53" si="47">IFERROR(IF(AND(V50="Probabilidad",V51="Probabilidad"),(AE50-(+AE50*Y51)),IF(AND(V50="Impacto",V51="Probabilidad"),(AE49-(+AE49*Y51)),IF(V51="Impacto",AE50,""))),"")</f>
        <v>9.0719999999999995E-2</v>
      </c>
      <c r="AD51" s="157" t="str">
        <f t="shared" si="1"/>
        <v>Muy Baja</v>
      </c>
      <c r="AE51" s="158">
        <f t="shared" si="44"/>
        <v>9.0719999999999995E-2</v>
      </c>
      <c r="AF51" s="157" t="str">
        <f t="shared" si="3"/>
        <v>Mayor</v>
      </c>
      <c r="AG51" s="158">
        <f t="shared" ref="AG51:AG53" si="48">IFERROR(IF(AND(V50="Impacto",V51="Impacto"),(AG50-(+AG50*Y51)),IF(AND(V50="Probabilidad",V51="Impacto"),(AG49-(+AG49*Y51)),IF(V51="Probabilidad",AG50,""))),"")</f>
        <v>0.8</v>
      </c>
      <c r="AH51" s="159" t="str">
        <f>IFERROR(IF(OR(AND(AD51="Muy Baja",AF51="Leve"),AND(AD51="Muy Baja",AF51="Menor"),AND(AD51="Baja",AF51="Leve")),"Bajo",IF(OR(AND(AD51="Muy baja",AF51="Moderado"),AND(AD51="Baja",AF51="Menor"),AND(AD51="Baja",AF51="Moderado"),AND(AD51="Media",AF51="Leve"),AND(AD51="Media",AF51="Menor"),AND(AD51="Media",AF51="Moderado"),AND(AD51="Alta",AF51="Leve"),AND(AD51="Alta",AF51="Menor")),"Moderado",IF(OR(AND(AD51="Muy Baja",AF51="Mayor"),AND(AD51="Baja",AF51="Mayor"),AND(AD51="Media",AF51="Mayor"),AND(AD51="Alta",AF51="Moderado"),AND(AD51="Alta",AF51="Mayor"),AND(AD51="Muy Alta",AF51="Leve"),AND(AD51="Muy Alta",AF51="Menor"),AND(AD51="Muy Alta",AF51="Moderado"),AND(AD51="Muy Alta",AF51="Mayor")),"Alto",IF(OR(AND(AD51="Muy Baja",AF51="Catastrófico"),AND(AD51="Baja",AF51="Catastrófico"),AND(AD51="Media",AF51="Catastrófico"),AND(AD51="Alta",AF51="Catastrófico"),AND(AD51="Muy Alta",AF51="Catastrófico")),"Extremo","")))),"")</f>
        <v>Alto</v>
      </c>
      <c r="AI51" s="161" t="s">
        <v>117</v>
      </c>
      <c r="AJ51" s="181"/>
      <c r="AK51" s="185"/>
      <c r="AL51" s="187"/>
      <c r="AM51" s="195"/>
      <c r="AN51" s="183"/>
      <c r="AO51" s="190"/>
      <c r="AP51" s="181"/>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row>
    <row r="52" spans="1:73" ht="86.25" customHeight="1" x14ac:dyDescent="0.2">
      <c r="A52" s="214"/>
      <c r="B52" s="220"/>
      <c r="C52" s="222"/>
      <c r="D52" s="181"/>
      <c r="E52" s="181"/>
      <c r="F52" s="181"/>
      <c r="G52" s="215"/>
      <c r="H52" s="181"/>
      <c r="I52" s="181"/>
      <c r="J52" s="217"/>
      <c r="K52" s="183"/>
      <c r="L52" s="185"/>
      <c r="M52" s="205"/>
      <c r="N52" s="206"/>
      <c r="O52" s="203"/>
      <c r="P52" s="204">
        <f>IF(NOT(ISERROR(MATCH(O52,_xlfn.ANCHORARRAY(I63),0))),N65&amp;"Por favor no seleccionar los criterios de impacto",O52)</f>
        <v>0</v>
      </c>
      <c r="Q52" s="205"/>
      <c r="R52" s="206"/>
      <c r="S52" s="207"/>
      <c r="T52" s="152">
        <v>5</v>
      </c>
      <c r="U52" s="167" t="s">
        <v>329</v>
      </c>
      <c r="V52" s="153" t="str">
        <f t="shared" si="46"/>
        <v>Probabilidad</v>
      </c>
      <c r="W52" s="139" t="s">
        <v>14</v>
      </c>
      <c r="X52" s="154" t="s">
        <v>8</v>
      </c>
      <c r="Y52" s="155" t="str">
        <f t="shared" si="43"/>
        <v>30%</v>
      </c>
      <c r="Z52" s="154" t="s">
        <v>18</v>
      </c>
      <c r="AA52" s="154" t="s">
        <v>21</v>
      </c>
      <c r="AB52" s="154" t="s">
        <v>112</v>
      </c>
      <c r="AC52" s="156">
        <f t="shared" si="47"/>
        <v>6.3504000000000005E-2</v>
      </c>
      <c r="AD52" s="157" t="str">
        <f t="shared" si="1"/>
        <v>Muy Baja</v>
      </c>
      <c r="AE52" s="158">
        <f t="shared" si="44"/>
        <v>6.3504000000000005E-2</v>
      </c>
      <c r="AF52" s="157" t="str">
        <f t="shared" si="3"/>
        <v>Mayor</v>
      </c>
      <c r="AG52" s="158">
        <f t="shared" si="48"/>
        <v>0.8</v>
      </c>
      <c r="AH52" s="159" t="str">
        <f t="shared" ref="AH52:AH53" si="49">IFERROR(IF(OR(AND(AD52="Muy Baja",AF52="Leve"),AND(AD52="Muy Baja",AF52="Menor"),AND(AD52="Baja",AF52="Leve")),"Bajo",IF(OR(AND(AD52="Muy baja",AF52="Moderado"),AND(AD52="Baja",AF52="Menor"),AND(AD52="Baja",AF52="Moderado"),AND(AD52="Media",AF52="Leve"),AND(AD52="Media",AF52="Menor"),AND(AD52="Media",AF52="Moderado"),AND(AD52="Alta",AF52="Leve"),AND(AD52="Alta",AF52="Menor")),"Moderado",IF(OR(AND(AD52="Muy Baja",AF52="Mayor"),AND(AD52="Baja",AF52="Mayor"),AND(AD52="Media",AF52="Mayor"),AND(AD52="Alta",AF52="Moderado"),AND(AD52="Alta",AF52="Mayor"),AND(AD52="Muy Alta",AF52="Leve"),AND(AD52="Muy Alta",AF52="Menor"),AND(AD52="Muy Alta",AF52="Moderado"),AND(AD52="Muy Alta",AF52="Mayor")),"Alto",IF(OR(AND(AD52="Muy Baja",AF52="Catastrófico"),AND(AD52="Baja",AF52="Catastrófico"),AND(AD52="Media",AF52="Catastrófico"),AND(AD52="Alta",AF52="Catastrófico"),AND(AD52="Muy Alta",AF52="Catastrófico")),"Extremo","")))),"")</f>
        <v>Alto</v>
      </c>
      <c r="AI52" s="161" t="s">
        <v>117</v>
      </c>
      <c r="AJ52" s="181"/>
      <c r="AK52" s="185"/>
      <c r="AL52" s="187"/>
      <c r="AM52" s="195"/>
      <c r="AN52" s="183"/>
      <c r="AO52" s="190"/>
      <c r="AP52" s="181"/>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row>
    <row r="53" spans="1:73" ht="133.5" customHeight="1" x14ac:dyDescent="0.2">
      <c r="A53" s="214"/>
      <c r="B53" s="220"/>
      <c r="C53" s="222"/>
      <c r="D53" s="181"/>
      <c r="E53" s="181"/>
      <c r="F53" s="181"/>
      <c r="G53" s="215"/>
      <c r="H53" s="181"/>
      <c r="I53" s="181"/>
      <c r="J53" s="217"/>
      <c r="K53" s="183"/>
      <c r="L53" s="185"/>
      <c r="M53" s="205"/>
      <c r="N53" s="206"/>
      <c r="O53" s="203"/>
      <c r="P53" s="204">
        <f>IF(NOT(ISERROR(MATCH(O53,_xlfn.ANCHORARRAY(I64),0))),N66&amp;"Por favor no seleccionar los criterios de impacto",O53)</f>
        <v>0</v>
      </c>
      <c r="Q53" s="205"/>
      <c r="R53" s="206"/>
      <c r="S53" s="207"/>
      <c r="T53" s="152">
        <v>6</v>
      </c>
      <c r="U53" s="170" t="s">
        <v>333</v>
      </c>
      <c r="V53" s="153" t="str">
        <f t="shared" si="46"/>
        <v>Impacto</v>
      </c>
      <c r="W53" s="139" t="s">
        <v>15</v>
      </c>
      <c r="X53" s="154" t="s">
        <v>8</v>
      </c>
      <c r="Y53" s="155" t="str">
        <f t="shared" si="43"/>
        <v>25%</v>
      </c>
      <c r="Z53" s="154" t="s">
        <v>18</v>
      </c>
      <c r="AA53" s="154" t="s">
        <v>21</v>
      </c>
      <c r="AB53" s="154" t="s">
        <v>112</v>
      </c>
      <c r="AC53" s="156">
        <f t="shared" si="47"/>
        <v>6.3504000000000005E-2</v>
      </c>
      <c r="AD53" s="157" t="str">
        <f t="shared" si="1"/>
        <v>Muy Baja</v>
      </c>
      <c r="AE53" s="158">
        <f t="shared" si="44"/>
        <v>6.3504000000000005E-2</v>
      </c>
      <c r="AF53" s="157" t="str">
        <f t="shared" si="3"/>
        <v>Moderado</v>
      </c>
      <c r="AG53" s="158">
        <f t="shared" si="48"/>
        <v>0.60000000000000009</v>
      </c>
      <c r="AH53" s="159" t="str">
        <f t="shared" si="49"/>
        <v>Moderado</v>
      </c>
      <c r="AI53" s="161" t="s">
        <v>117</v>
      </c>
      <c r="AJ53" s="181"/>
      <c r="AK53" s="185"/>
      <c r="AL53" s="187"/>
      <c r="AM53" s="195"/>
      <c r="AN53" s="183"/>
      <c r="AO53" s="191"/>
      <c r="AP53" s="181"/>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row>
    <row r="54" spans="1:73" ht="115.5" customHeight="1" x14ac:dyDescent="0.2">
      <c r="A54" s="214">
        <v>8</v>
      </c>
      <c r="B54" s="219" t="s">
        <v>336</v>
      </c>
      <c r="C54" s="221" t="s">
        <v>273</v>
      </c>
      <c r="D54" s="181" t="s">
        <v>266</v>
      </c>
      <c r="E54" s="181" t="s">
        <v>358</v>
      </c>
      <c r="F54" s="181" t="s">
        <v>359</v>
      </c>
      <c r="G54" s="215" t="s">
        <v>360</v>
      </c>
      <c r="H54" s="181" t="s">
        <v>337</v>
      </c>
      <c r="I54" s="181" t="s">
        <v>338</v>
      </c>
      <c r="J54" s="217" t="s">
        <v>237</v>
      </c>
      <c r="K54" s="183" t="s">
        <v>242</v>
      </c>
      <c r="L54" s="185">
        <v>1176</v>
      </c>
      <c r="M54" s="205" t="str">
        <f>IF(L54&lt;=0,"",IF(L54&lt;=2,"Muy Baja",IF(L54&lt;=24,"Baja",IF(L54&lt;=500,"Media",IF(L54&lt;=5000,"Alta","Muy Alta")))))</f>
        <v>Alta</v>
      </c>
      <c r="N54" s="206">
        <f>IF(M54="","",IF(M54="Muy Baja",0.2,IF(M54="Baja",0.4,IF(M54="Media",0.6,IF(M54="Alta",0.8,IF(M54="Muy Alta",1,))))))</f>
        <v>0.8</v>
      </c>
      <c r="O54" s="203" t="s">
        <v>136</v>
      </c>
      <c r="P54" s="204" t="str">
        <f>IF(NOT(ISERROR(MATCH(O54,'Tabla Impacto'!$B$221:$B$223,0))),'Tabla Impacto'!$F$223&amp;"Por favor no seleccionar los criterios de impacto(Afectación Económica o presupuestal y Pérdida Reputacional)",O54)</f>
        <v xml:space="preserve">     El riesgo afecta la imagen de la entidad a nivel nacional, con efecto publicitarios sostenible a nivel país</v>
      </c>
      <c r="Q54" s="205" t="str">
        <f>IF(OR(P54='Tabla Impacto'!$C$11,P54='Tabla Impacto'!$D$11),"Leve",IF(OR(P54='Tabla Impacto'!$C$12,P54='Tabla Impacto'!$D$12),"Menor",IF(OR(P54='Tabla Impacto'!$C$13,P54='Tabla Impacto'!$D$13),"Moderado",IF(OR(P54='Tabla Impacto'!$C$14,P54='Tabla Impacto'!$D$14),"Mayor",IF(OR(P54='Tabla Impacto'!$C$15,P54='Tabla Impacto'!$D$15),"Catastrófico","")))))</f>
        <v>Catastrófico</v>
      </c>
      <c r="R54" s="206">
        <f>IF(Q54="","",IF(Q54="Leve",0.2,IF(Q54="Menor",0.4,IF(Q54="Moderado",0.6,IF(Q54="Mayor",0.8,IF(Q54="Catastrófico",1,))))))</f>
        <v>1</v>
      </c>
      <c r="S54" s="207" t="str">
        <f>IF(OR(AND(M54="Muy Baja",Q54="Leve"),AND(M54="Muy Baja",Q54="Menor"),AND(M54="Baja",Q54="Leve")),"Bajo",IF(OR(AND(M54="Muy baja",Q54="Moderado"),AND(M54="Baja",Q54="Menor"),AND(M54="Baja",Q54="Moderado"),AND(M54="Media",Q54="Leve"),AND(M54="Media",Q54="Menor"),AND(M54="Media",Q54="Moderado"),AND(M54="Alta",Q54="Leve"),AND(M54="Alta",Q54="Menor")),"Moderado",IF(OR(AND(M54="Muy Baja",Q54="Mayor"),AND(M54="Baja",Q54="Mayor"),AND(M54="Media",Q54="Mayor"),AND(M54="Alta",Q54="Moderado"),AND(M54="Alta",Q54="Mayor"),AND(M54="Muy Alta",Q54="Leve"),AND(M54="Muy Alta",Q54="Menor"),AND(M54="Muy Alta",Q54="Moderado"),AND(M54="Muy Alta",Q54="Mayor")),"Alto",IF(OR(AND(M54="Muy Baja",Q54="Catastrófico"),AND(M54="Baja",Q54="Catastrófico"),AND(M54="Media",Q54="Catastrófico"),AND(M54="Alta",Q54="Catastrófico"),AND(M54="Muy Alta",Q54="Catastrófico")),"Extremo",""))))</f>
        <v>Extremo</v>
      </c>
      <c r="T54" s="152">
        <v>1</v>
      </c>
      <c r="U54" s="170" t="s">
        <v>361</v>
      </c>
      <c r="V54" s="153" t="str">
        <f>IF(OR(W54="Preventivo",W54="Detectivo"),"Probabilidad",IF(W54="Correctivo","Impacto",""))</f>
        <v>Probabilidad</v>
      </c>
      <c r="W54" s="171" t="s">
        <v>13</v>
      </c>
      <c r="X54" s="154" t="s">
        <v>8</v>
      </c>
      <c r="Y54" s="155" t="str">
        <f>IF(AND(W54="Preventivo",X54="Automático"),"50%",IF(AND(W54="Preventivo",X54="Manual"),"40%",IF(AND(W54="Detectivo",X54="Automático"),"40%",IF(AND(W54="Detectivo",X54="Manual"),"30%",IF(AND(W54="Correctivo",X54="Automático"),"35%",IF(AND(W54="Correctivo",X54="Manual"),"25%",""))))))</f>
        <v>40%</v>
      </c>
      <c r="Z54" s="154" t="s">
        <v>18</v>
      </c>
      <c r="AA54" s="154" t="s">
        <v>21</v>
      </c>
      <c r="AB54" s="154" t="s">
        <v>112</v>
      </c>
      <c r="AC54" s="156">
        <f>IFERROR(IF(V54="Probabilidad",(N54-(+N54*Y54)),IF(V54="Impacto",N54,"")),"")</f>
        <v>0.48</v>
      </c>
      <c r="AD54" s="157" t="str">
        <f>IFERROR(IF(AC54="","",IF(AC54&lt;=0.2,"Muy Baja",IF(AC54&lt;=0.4,"Baja",IF(AC54&lt;=0.6,"Media",IF(AC54&lt;=0.8,"Alta","Muy Alta"))))),"")</f>
        <v>Media</v>
      </c>
      <c r="AE54" s="158">
        <f>+AC54</f>
        <v>0.48</v>
      </c>
      <c r="AF54" s="157" t="str">
        <f>IFERROR(IF(AG54="","",IF(AG54&lt;=0.2,"Leve",IF(AG54&lt;=0.4,"Menor",IF(AG54&lt;=0.6,"Moderado",IF(AG54&lt;=0.8,"Mayor","Catastrófico"))))),"")</f>
        <v>Catastrófico</v>
      </c>
      <c r="AG54" s="158">
        <f>IFERROR(IF(V54="Impacto",(R54-(+R54*Y54)),IF(V54="Probabilidad",R54,"")),"")</f>
        <v>1</v>
      </c>
      <c r="AH54" s="159" t="str">
        <f>IFERROR(IF(OR(AND(AD54="Muy Baja",AF54="Leve"),AND(AD54="Muy Baja",AF54="Menor"),AND(AD54="Baja",AF54="Leve")),"Bajo",IF(OR(AND(AD54="Muy baja",AF54="Moderado"),AND(AD54="Baja",AF54="Menor"),AND(AD54="Baja",AF54="Moderado"),AND(AD54="Media",AF54="Leve"),AND(AD54="Media",AF54="Menor"),AND(AD54="Media",AF54="Moderado"),AND(AD54="Alta",AF54="Leve"),AND(AD54="Alta",AF54="Menor")),"Moderado",IF(OR(AND(AD54="Muy Baja",AF54="Mayor"),AND(AD54="Baja",AF54="Mayor"),AND(AD54="Media",AF54="Mayor"),AND(AD54="Alta",AF54="Moderado"),AND(AD54="Alta",AF54="Mayor"),AND(AD54="Muy Alta",AF54="Leve"),AND(AD54="Muy Alta",AF54="Menor"),AND(AD54="Muy Alta",AF54="Moderado"),AND(AD54="Muy Alta",AF54="Mayor")),"Alto",IF(OR(AND(AD54="Muy Baja",AF54="Catastrófico"),AND(AD54="Baja",AF54="Catastrófico"),AND(AD54="Media",AF54="Catastrófico"),AND(AD54="Alta",AF54="Catastrófico"),AND(AD54="Muy Alta",AF54="Catastrófico")),"Extremo","")))),"")</f>
        <v>Extremo</v>
      </c>
      <c r="AI54" s="161" t="s">
        <v>117</v>
      </c>
      <c r="AJ54" s="181" t="s">
        <v>342</v>
      </c>
      <c r="AK54" s="186" t="s">
        <v>193</v>
      </c>
      <c r="AL54" s="188">
        <v>45293</v>
      </c>
      <c r="AM54" s="194">
        <v>45653</v>
      </c>
      <c r="AN54" s="184" t="s">
        <v>368</v>
      </c>
      <c r="AO54" s="190" t="s">
        <v>269</v>
      </c>
      <c r="AP54" s="181" t="s">
        <v>343</v>
      </c>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row>
    <row r="55" spans="1:73" ht="139.5" customHeight="1" x14ac:dyDescent="0.2">
      <c r="A55" s="214"/>
      <c r="B55" s="220"/>
      <c r="C55" s="222"/>
      <c r="D55" s="181"/>
      <c r="E55" s="181"/>
      <c r="F55" s="181"/>
      <c r="G55" s="215"/>
      <c r="H55" s="181"/>
      <c r="I55" s="181"/>
      <c r="J55" s="217"/>
      <c r="K55" s="183"/>
      <c r="L55" s="185"/>
      <c r="M55" s="205"/>
      <c r="N55" s="206"/>
      <c r="O55" s="203"/>
      <c r="P55" s="204">
        <f>IF(NOT(ISERROR(MATCH(O55,_xlfn.ANCHORARRAY(I66),0))),N68&amp;"Por favor no seleccionar los criterios de impacto",O55)</f>
        <v>0</v>
      </c>
      <c r="Q55" s="205"/>
      <c r="R55" s="206"/>
      <c r="S55" s="207"/>
      <c r="T55" s="152">
        <v>2</v>
      </c>
      <c r="U55" s="170" t="s">
        <v>362</v>
      </c>
      <c r="V55" s="153" t="str">
        <f>IF(OR(W55="Preventivo",W55="Detectivo"),"Probabilidad",IF(W55="Correctivo","Impacto",""))</f>
        <v>Probabilidad</v>
      </c>
      <c r="W55" s="171" t="s">
        <v>13</v>
      </c>
      <c r="X55" s="154" t="s">
        <v>8</v>
      </c>
      <c r="Y55" s="155" t="str">
        <f t="shared" ref="Y55:Y59" si="50">IF(AND(W55="Preventivo",X55="Automático"),"50%",IF(AND(W55="Preventivo",X55="Manual"),"40%",IF(AND(W55="Detectivo",X55="Automático"),"40%",IF(AND(W55="Detectivo",X55="Manual"),"30%",IF(AND(W55="Correctivo",X55="Automático"),"35%",IF(AND(W55="Correctivo",X55="Manual"),"25%",""))))))</f>
        <v>40%</v>
      </c>
      <c r="Z55" s="154" t="s">
        <v>18</v>
      </c>
      <c r="AA55" s="154" t="s">
        <v>21</v>
      </c>
      <c r="AB55" s="154" t="s">
        <v>112</v>
      </c>
      <c r="AC55" s="156">
        <f>IFERROR(IF(AND(V54="Probabilidad",V55="Probabilidad"),(AE54-(+AE54*Y55)),IF(V55="Probabilidad",(N54-(+N54*Y55)),IF(V55="Impacto",AE54,""))),"")</f>
        <v>0.28799999999999998</v>
      </c>
      <c r="AD55" s="157" t="str">
        <f t="shared" si="1"/>
        <v>Baja</v>
      </c>
      <c r="AE55" s="158">
        <f t="shared" ref="AE55:AE59" si="51">+AC55</f>
        <v>0.28799999999999998</v>
      </c>
      <c r="AF55" s="157" t="str">
        <f t="shared" si="3"/>
        <v>Catastrófico</v>
      </c>
      <c r="AG55" s="158">
        <f>IFERROR(IF(AND(V54="Impacto",V55="Impacto"),(AG54-(+AG54*Y55)),IF(V55="Impacto",(R54-(+R54*Y55)),IF(V55="Probabilidad",AG54,""))),"")</f>
        <v>1</v>
      </c>
      <c r="AH55" s="159" t="str">
        <f t="shared" ref="AH55:AH56" si="52">IFERROR(IF(OR(AND(AD55="Muy Baja",AF55="Leve"),AND(AD55="Muy Baja",AF55="Menor"),AND(AD55="Baja",AF55="Leve")),"Bajo",IF(OR(AND(AD55="Muy baja",AF55="Moderado"),AND(AD55="Baja",AF55="Menor"),AND(AD55="Baja",AF55="Moderado"),AND(AD55="Media",AF55="Leve"),AND(AD55="Media",AF55="Menor"),AND(AD55="Media",AF55="Moderado"),AND(AD55="Alta",AF55="Leve"),AND(AD55="Alta",AF55="Menor")),"Moderado",IF(OR(AND(AD55="Muy Baja",AF55="Mayor"),AND(AD55="Baja",AF55="Mayor"),AND(AD55="Media",AF55="Mayor"),AND(AD55="Alta",AF55="Moderado"),AND(AD55="Alta",AF55="Mayor"),AND(AD55="Muy Alta",AF55="Leve"),AND(AD55="Muy Alta",AF55="Menor"),AND(AD55="Muy Alta",AF55="Moderado"),AND(AD55="Muy Alta",AF55="Mayor")),"Alto",IF(OR(AND(AD55="Muy Baja",AF55="Catastrófico"),AND(AD55="Baja",AF55="Catastrófico"),AND(AD55="Media",AF55="Catastrófico"),AND(AD55="Alta",AF55="Catastrófico"),AND(AD55="Muy Alta",AF55="Catastrófico")),"Extremo","")))),"")</f>
        <v>Extremo</v>
      </c>
      <c r="AI55" s="161" t="s">
        <v>117</v>
      </c>
      <c r="AJ55" s="181"/>
      <c r="AK55" s="185"/>
      <c r="AL55" s="187"/>
      <c r="AM55" s="195"/>
      <c r="AN55" s="183"/>
      <c r="AO55" s="190"/>
      <c r="AP55" s="181"/>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row>
    <row r="56" spans="1:73" ht="141" customHeight="1" x14ac:dyDescent="0.2">
      <c r="A56" s="214"/>
      <c r="B56" s="220"/>
      <c r="C56" s="222"/>
      <c r="D56" s="181"/>
      <c r="E56" s="181"/>
      <c r="F56" s="181"/>
      <c r="G56" s="215"/>
      <c r="H56" s="181"/>
      <c r="I56" s="181"/>
      <c r="J56" s="217"/>
      <c r="K56" s="183"/>
      <c r="L56" s="185"/>
      <c r="M56" s="205"/>
      <c r="N56" s="206"/>
      <c r="O56" s="203"/>
      <c r="P56" s="204">
        <f>IF(NOT(ISERROR(MATCH(O56,_xlfn.ANCHORARRAY(I67),0))),N69&amp;"Por favor no seleccionar los criterios de impacto",O56)</f>
        <v>0</v>
      </c>
      <c r="Q56" s="205"/>
      <c r="R56" s="206"/>
      <c r="S56" s="207"/>
      <c r="T56" s="152">
        <v>3</v>
      </c>
      <c r="U56" s="170" t="s">
        <v>339</v>
      </c>
      <c r="V56" s="153" t="str">
        <f>IF(OR(W56="Preventivo",W56="Detectivo"),"Probabilidad",IF(W56="Correctivo","Impacto",""))</f>
        <v>Probabilidad</v>
      </c>
      <c r="W56" s="171" t="s">
        <v>13</v>
      </c>
      <c r="X56" s="154" t="s">
        <v>8</v>
      </c>
      <c r="Y56" s="155" t="str">
        <f t="shared" si="50"/>
        <v>40%</v>
      </c>
      <c r="Z56" s="154" t="s">
        <v>18</v>
      </c>
      <c r="AA56" s="154" t="s">
        <v>21</v>
      </c>
      <c r="AB56" s="154" t="s">
        <v>112</v>
      </c>
      <c r="AC56" s="156">
        <f>IFERROR(IF(AND(V55="Probabilidad",V56="Probabilidad"),(AE55-(+AE55*Y56)),IF(AND(V55="Impacto",V56="Probabilidad"),(AE54-(+AE54*Y56)),IF(V56="Impacto",AE55,""))),"")</f>
        <v>0.17279999999999998</v>
      </c>
      <c r="AD56" s="157" t="str">
        <f t="shared" si="1"/>
        <v>Muy Baja</v>
      </c>
      <c r="AE56" s="158">
        <f t="shared" si="51"/>
        <v>0.17279999999999998</v>
      </c>
      <c r="AF56" s="157" t="str">
        <f t="shared" si="3"/>
        <v>Catastrófico</v>
      </c>
      <c r="AG56" s="158">
        <f>IFERROR(IF(AND(V55="Impacto",V56="Impacto"),(AG55-(+AG55*Y56)),IF(AND(V55="Probabilidad",V56="Impacto"),(AG54-(+AG54*Y56)),IF(V56="Probabilidad",AG55,""))),"")</f>
        <v>1</v>
      </c>
      <c r="AH56" s="159" t="str">
        <f t="shared" si="52"/>
        <v>Extremo</v>
      </c>
      <c r="AI56" s="161" t="s">
        <v>117</v>
      </c>
      <c r="AJ56" s="181"/>
      <c r="AK56" s="185"/>
      <c r="AL56" s="187"/>
      <c r="AM56" s="195"/>
      <c r="AN56" s="183"/>
      <c r="AO56" s="190"/>
      <c r="AP56" s="181"/>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row>
    <row r="57" spans="1:73" ht="168.75" customHeight="1" x14ac:dyDescent="0.2">
      <c r="A57" s="214"/>
      <c r="B57" s="220"/>
      <c r="C57" s="222"/>
      <c r="D57" s="181"/>
      <c r="E57" s="181"/>
      <c r="F57" s="181"/>
      <c r="G57" s="215"/>
      <c r="H57" s="181"/>
      <c r="I57" s="181"/>
      <c r="J57" s="217"/>
      <c r="K57" s="183"/>
      <c r="L57" s="185"/>
      <c r="M57" s="205"/>
      <c r="N57" s="206"/>
      <c r="O57" s="203"/>
      <c r="P57" s="204">
        <f>IF(NOT(ISERROR(MATCH(O57,_xlfn.ANCHORARRAY(I68),0))),N70&amp;"Por favor no seleccionar los criterios de impacto",O57)</f>
        <v>0</v>
      </c>
      <c r="Q57" s="205"/>
      <c r="R57" s="206"/>
      <c r="S57" s="207"/>
      <c r="T57" s="152">
        <v>4</v>
      </c>
      <c r="U57" s="170" t="s">
        <v>340</v>
      </c>
      <c r="V57" s="153" t="str">
        <f t="shared" ref="V57:V59" si="53">IF(OR(W57="Preventivo",W57="Detectivo"),"Probabilidad",IF(W57="Correctivo","Impacto",""))</f>
        <v>Probabilidad</v>
      </c>
      <c r="W57" s="171" t="s">
        <v>13</v>
      </c>
      <c r="X57" s="154" t="s">
        <v>8</v>
      </c>
      <c r="Y57" s="155" t="str">
        <f t="shared" si="50"/>
        <v>40%</v>
      </c>
      <c r="Z57" s="154" t="s">
        <v>18</v>
      </c>
      <c r="AA57" s="154" t="s">
        <v>21</v>
      </c>
      <c r="AB57" s="154" t="s">
        <v>112</v>
      </c>
      <c r="AC57" s="156">
        <f t="shared" ref="AC57:AC59" si="54">IFERROR(IF(AND(V56="Probabilidad",V57="Probabilidad"),(AE56-(+AE56*Y57)),IF(AND(V56="Impacto",V57="Probabilidad"),(AE55-(+AE55*Y57)),IF(V57="Impacto",AE56,""))),"")</f>
        <v>0.10367999999999998</v>
      </c>
      <c r="AD57" s="157" t="str">
        <f t="shared" si="1"/>
        <v>Muy Baja</v>
      </c>
      <c r="AE57" s="158">
        <f t="shared" si="51"/>
        <v>0.10367999999999998</v>
      </c>
      <c r="AF57" s="157" t="str">
        <f t="shared" si="3"/>
        <v>Catastrófico</v>
      </c>
      <c r="AG57" s="158">
        <f t="shared" ref="AG57:AG59" si="55">IFERROR(IF(AND(V56="Impacto",V57="Impacto"),(AG56-(+AG56*Y57)),IF(AND(V56="Probabilidad",V57="Impacto"),(AG55-(+AG55*Y57)),IF(V57="Probabilidad",AG56,""))),"")</f>
        <v>1</v>
      </c>
      <c r="AH57" s="159" t="str">
        <f>IFERROR(IF(OR(AND(AD57="Muy Baja",AF57="Leve"),AND(AD57="Muy Baja",AF57="Menor"),AND(AD57="Baja",AF57="Leve")),"Bajo",IF(OR(AND(AD57="Muy baja",AF57="Moderado"),AND(AD57="Baja",AF57="Menor"),AND(AD57="Baja",AF57="Moderado"),AND(AD57="Media",AF57="Leve"),AND(AD57="Media",AF57="Menor"),AND(AD57="Media",AF57="Moderado"),AND(AD57="Alta",AF57="Leve"),AND(AD57="Alta",AF57="Menor")),"Moderado",IF(OR(AND(AD57="Muy Baja",AF57="Mayor"),AND(AD57="Baja",AF57="Mayor"),AND(AD57="Media",AF57="Mayor"),AND(AD57="Alta",AF57="Moderado"),AND(AD57="Alta",AF57="Mayor"),AND(AD57="Muy Alta",AF57="Leve"),AND(AD57="Muy Alta",AF57="Menor"),AND(AD57="Muy Alta",AF57="Moderado"),AND(AD57="Muy Alta",AF57="Mayor")),"Alto",IF(OR(AND(AD57="Muy Baja",AF57="Catastrófico"),AND(AD57="Baja",AF57="Catastrófico"),AND(AD57="Media",AF57="Catastrófico"),AND(AD57="Alta",AF57="Catastrófico"),AND(AD57="Muy Alta",AF57="Catastrófico")),"Extremo","")))),"")</f>
        <v>Extremo</v>
      </c>
      <c r="AI57" s="161" t="s">
        <v>117</v>
      </c>
      <c r="AJ57" s="181"/>
      <c r="AK57" s="185"/>
      <c r="AL57" s="187"/>
      <c r="AM57" s="195"/>
      <c r="AN57" s="183"/>
      <c r="AO57" s="190"/>
      <c r="AP57" s="181"/>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row>
    <row r="58" spans="1:73" ht="136.5" customHeight="1" x14ac:dyDescent="0.2">
      <c r="A58" s="214"/>
      <c r="B58" s="220"/>
      <c r="C58" s="222"/>
      <c r="D58" s="181"/>
      <c r="E58" s="181"/>
      <c r="F58" s="181"/>
      <c r="G58" s="215"/>
      <c r="H58" s="181"/>
      <c r="I58" s="181"/>
      <c r="J58" s="217"/>
      <c r="K58" s="183"/>
      <c r="L58" s="185"/>
      <c r="M58" s="205"/>
      <c r="N58" s="206"/>
      <c r="O58" s="203"/>
      <c r="P58" s="204">
        <f>IF(NOT(ISERROR(MATCH(O58,_xlfn.ANCHORARRAY(I69),0))),#REF!&amp;"Por favor no seleccionar los criterios de impacto",O58)</f>
        <v>0</v>
      </c>
      <c r="Q58" s="205"/>
      <c r="R58" s="206"/>
      <c r="S58" s="207"/>
      <c r="T58" s="152">
        <v>5</v>
      </c>
      <c r="U58" s="170" t="s">
        <v>341</v>
      </c>
      <c r="V58" s="153" t="str">
        <f t="shared" si="53"/>
        <v>Probabilidad</v>
      </c>
      <c r="W58" s="171" t="s">
        <v>13</v>
      </c>
      <c r="X58" s="154" t="s">
        <v>8</v>
      </c>
      <c r="Y58" s="155" t="str">
        <f t="shared" si="50"/>
        <v>40%</v>
      </c>
      <c r="Z58" s="154" t="s">
        <v>18</v>
      </c>
      <c r="AA58" s="154" t="s">
        <v>21</v>
      </c>
      <c r="AB58" s="154" t="s">
        <v>112</v>
      </c>
      <c r="AC58" s="156">
        <f t="shared" si="54"/>
        <v>6.2207999999999986E-2</v>
      </c>
      <c r="AD58" s="157" t="str">
        <f t="shared" si="1"/>
        <v>Muy Baja</v>
      </c>
      <c r="AE58" s="158">
        <f t="shared" si="51"/>
        <v>6.2207999999999986E-2</v>
      </c>
      <c r="AF58" s="157" t="str">
        <f t="shared" si="3"/>
        <v>Catastrófico</v>
      </c>
      <c r="AG58" s="158">
        <f t="shared" si="55"/>
        <v>1</v>
      </c>
      <c r="AH58" s="159" t="str">
        <f t="shared" ref="AH58:AH59" si="56">IFERROR(IF(OR(AND(AD58="Muy Baja",AF58="Leve"),AND(AD58="Muy Baja",AF58="Menor"),AND(AD58="Baja",AF58="Leve")),"Bajo",IF(OR(AND(AD58="Muy baja",AF58="Moderado"),AND(AD58="Baja",AF58="Menor"),AND(AD58="Baja",AF58="Moderado"),AND(AD58="Media",AF58="Leve"),AND(AD58="Media",AF58="Menor"),AND(AD58="Media",AF58="Moderado"),AND(AD58="Alta",AF58="Leve"),AND(AD58="Alta",AF58="Menor")),"Moderado",IF(OR(AND(AD58="Muy Baja",AF58="Mayor"),AND(AD58="Baja",AF58="Mayor"),AND(AD58="Media",AF58="Mayor"),AND(AD58="Alta",AF58="Moderado"),AND(AD58="Alta",AF58="Mayor"),AND(AD58="Muy Alta",AF58="Leve"),AND(AD58="Muy Alta",AF58="Menor"),AND(AD58="Muy Alta",AF58="Moderado"),AND(AD58="Muy Alta",AF58="Mayor")),"Alto",IF(OR(AND(AD58="Muy Baja",AF58="Catastrófico"),AND(AD58="Baja",AF58="Catastrófico"),AND(AD58="Media",AF58="Catastrófico"),AND(AD58="Alta",AF58="Catastrófico"),AND(AD58="Muy Alta",AF58="Catastrófico")),"Extremo","")))),"")</f>
        <v>Extremo</v>
      </c>
      <c r="AI58" s="161" t="s">
        <v>117</v>
      </c>
      <c r="AJ58" s="181"/>
      <c r="AK58" s="185"/>
      <c r="AL58" s="187"/>
      <c r="AM58" s="195"/>
      <c r="AN58" s="183"/>
      <c r="AO58" s="190"/>
      <c r="AP58" s="181"/>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row>
    <row r="59" spans="1:73" ht="132" customHeight="1" x14ac:dyDescent="0.2">
      <c r="A59" s="214"/>
      <c r="B59" s="220"/>
      <c r="C59" s="222"/>
      <c r="D59" s="181"/>
      <c r="E59" s="181"/>
      <c r="F59" s="181"/>
      <c r="G59" s="215"/>
      <c r="H59" s="181"/>
      <c r="I59" s="181"/>
      <c r="J59" s="217"/>
      <c r="K59" s="183"/>
      <c r="L59" s="185"/>
      <c r="M59" s="205"/>
      <c r="N59" s="206"/>
      <c r="O59" s="203"/>
      <c r="P59" s="204">
        <f>IF(NOT(ISERROR(MATCH(O59,_xlfn.ANCHORARRAY(I70),0))),#REF!&amp;"Por favor no seleccionar los criterios de impacto",O59)</f>
        <v>0</v>
      </c>
      <c r="Q59" s="205"/>
      <c r="R59" s="206"/>
      <c r="S59" s="207"/>
      <c r="T59" s="152">
        <v>6</v>
      </c>
      <c r="U59" s="170" t="s">
        <v>827</v>
      </c>
      <c r="V59" s="153" t="str">
        <f t="shared" si="53"/>
        <v>Probabilidad</v>
      </c>
      <c r="W59" s="171" t="s">
        <v>14</v>
      </c>
      <c r="X59" s="154" t="s">
        <v>8</v>
      </c>
      <c r="Y59" s="155" t="str">
        <f t="shared" si="50"/>
        <v>30%</v>
      </c>
      <c r="Z59" s="154" t="s">
        <v>18</v>
      </c>
      <c r="AA59" s="154" t="s">
        <v>21</v>
      </c>
      <c r="AB59" s="154" t="s">
        <v>112</v>
      </c>
      <c r="AC59" s="156">
        <f t="shared" si="54"/>
        <v>4.354559999999999E-2</v>
      </c>
      <c r="AD59" s="157" t="str">
        <f t="shared" si="1"/>
        <v>Muy Baja</v>
      </c>
      <c r="AE59" s="158">
        <f t="shared" si="51"/>
        <v>4.354559999999999E-2</v>
      </c>
      <c r="AF59" s="157" t="str">
        <f t="shared" si="3"/>
        <v>Catastrófico</v>
      </c>
      <c r="AG59" s="158">
        <f t="shared" si="55"/>
        <v>1</v>
      </c>
      <c r="AH59" s="159" t="str">
        <f t="shared" si="56"/>
        <v>Extremo</v>
      </c>
      <c r="AI59" s="161" t="s">
        <v>117</v>
      </c>
      <c r="AJ59" s="181"/>
      <c r="AK59" s="185"/>
      <c r="AL59" s="187"/>
      <c r="AM59" s="195"/>
      <c r="AN59" s="183"/>
      <c r="AO59" s="191"/>
      <c r="AP59" s="181"/>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row>
    <row r="60" spans="1:73" ht="90.75" customHeight="1" x14ac:dyDescent="0.2">
      <c r="A60" s="214">
        <v>9</v>
      </c>
      <c r="B60" s="219" t="s">
        <v>336</v>
      </c>
      <c r="C60" s="221" t="s">
        <v>273</v>
      </c>
      <c r="D60" s="181" t="s">
        <v>266</v>
      </c>
      <c r="E60" s="181" t="s">
        <v>351</v>
      </c>
      <c r="F60" s="181" t="s">
        <v>344</v>
      </c>
      <c r="G60" s="215" t="s">
        <v>345</v>
      </c>
      <c r="H60" s="181" t="s">
        <v>372</v>
      </c>
      <c r="I60" s="181" t="s">
        <v>346</v>
      </c>
      <c r="J60" s="217" t="s">
        <v>237</v>
      </c>
      <c r="K60" s="183" t="s">
        <v>242</v>
      </c>
      <c r="L60" s="185">
        <v>100</v>
      </c>
      <c r="M60" s="205" t="str">
        <f>IF(L60&lt;=0,"",IF(L60&lt;=2,"Muy Baja",IF(L60&lt;=24,"Baja",IF(L60&lt;=500,"Media",IF(L60&lt;=5000,"Alta","Muy Alta")))))</f>
        <v>Media</v>
      </c>
      <c r="N60" s="206">
        <f>IF(M60="","",IF(M60="Muy Baja",0.2,IF(M60="Baja",0.4,IF(M60="Media",0.6,IF(M60="Alta",0.8,IF(M60="Muy Alta",1,))))))</f>
        <v>0.6</v>
      </c>
      <c r="O60" s="203" t="s">
        <v>136</v>
      </c>
      <c r="P60" s="239" t="str">
        <f>IF(NOT(ISERROR(MATCH(O60,'Tabla Impacto'!$B$221:$B$223,0))),'Tabla Impacto'!$F$223&amp;"Por favor no seleccionar los criterios de impacto(Afectación Económica o presupuestal y Pérdida Reputacional)",O60)</f>
        <v xml:space="preserve">     El riesgo afecta la imagen de la entidad a nivel nacional, con efecto publicitarios sostenible a nivel país</v>
      </c>
      <c r="Q60" s="205" t="str">
        <f>IF(OR(P60='Tabla Impacto'!$C$11,P60='Tabla Impacto'!$D$11),"Leve",IF(OR(P60='Tabla Impacto'!$C$12,P60='Tabla Impacto'!$D$12),"Menor",IF(OR(P60='Tabla Impacto'!$C$13,P60='Tabla Impacto'!$D$13),"Moderado",IF(OR(P60='Tabla Impacto'!$C$14,P60='Tabla Impacto'!$D$14),"Mayor",IF(OR(P60='Tabla Impacto'!$C$15,P60='Tabla Impacto'!$D$15),"Catastrófico","")))))</f>
        <v>Catastrófico</v>
      </c>
      <c r="R60" s="206">
        <f>IF(Q60="","",IF(Q60="Leve",0.2,IF(Q60="Menor",0.4,IF(Q60="Moderado",0.6,IF(Q60="Mayor",0.8,IF(Q60="Catastrófico",1,))))))</f>
        <v>1</v>
      </c>
      <c r="S60" s="207" t="str">
        <f>IF(OR(AND(M60="Muy Baja",Q60="Leve"),AND(M60="Muy Baja",Q60="Menor"),AND(M60="Baja",Q60="Leve")),"Bajo",IF(OR(AND(M60="Muy baja",Q60="Moderado"),AND(M60="Baja",Q60="Menor"),AND(M60="Baja",Q60="Moderado"),AND(M60="Media",Q60="Leve"),AND(M60="Media",Q60="Menor"),AND(M60="Media",Q60="Moderado"),AND(M60="Alta",Q60="Leve"),AND(M60="Alta",Q60="Menor")),"Moderado",IF(OR(AND(M60="Muy Baja",Q60="Mayor"),AND(M60="Baja",Q60="Mayor"),AND(M60="Media",Q60="Mayor"),AND(M60="Alta",Q60="Moderado"),AND(M60="Alta",Q60="Mayor"),AND(M60="Muy Alta",Q60="Leve"),AND(M60="Muy Alta",Q60="Menor"),AND(M60="Muy Alta",Q60="Moderado"),AND(M60="Muy Alta",Q60="Mayor")),"Alto",IF(OR(AND(M60="Muy Baja",Q60="Catastrófico"),AND(M60="Baja",Q60="Catastrófico"),AND(M60="Media",Q60="Catastrófico"),AND(M60="Alta",Q60="Catastrófico"),AND(M60="Muy Alta",Q60="Catastrófico")),"Extremo",""))))</f>
        <v>Extremo</v>
      </c>
      <c r="T60" s="152">
        <v>1</v>
      </c>
      <c r="U60" s="160" t="s">
        <v>347</v>
      </c>
      <c r="V60" s="153" t="str">
        <f>IF(OR(W60="Preventivo",W60="Detectivo"),"Probabilidad",IF(W60="Correctivo","Impacto",""))</f>
        <v>Probabilidad</v>
      </c>
      <c r="W60" s="154" t="s">
        <v>13</v>
      </c>
      <c r="X60" s="154" t="s">
        <v>8</v>
      </c>
      <c r="Y60" s="155" t="str">
        <f>IF(AND(W60="Preventivo",X60="Automático"),"50%",IF(AND(W60="Preventivo",X60="Manual"),"40%",IF(AND(W60="Detectivo",X60="Automático"),"40%",IF(AND(W60="Detectivo",X60="Manual"),"30%",IF(AND(W60="Correctivo",X60="Automático"),"35%",IF(AND(W60="Correctivo",X60="Manual"),"25%",""))))))</f>
        <v>40%</v>
      </c>
      <c r="Z60" s="154" t="s">
        <v>18</v>
      </c>
      <c r="AA60" s="154" t="s">
        <v>21</v>
      </c>
      <c r="AB60" s="154" t="s">
        <v>112</v>
      </c>
      <c r="AC60" s="156">
        <f>IFERROR(IF(V60="Probabilidad",(N60-(+N60*Y60)),IF(V60="Impacto",N60,"")),"")</f>
        <v>0.36</v>
      </c>
      <c r="AD60" s="157" t="str">
        <f>IFERROR(IF(AC60="","",IF(AC60&lt;=0.2,"Muy Baja",IF(AC60&lt;=0.4,"Baja",IF(AC60&lt;=0.6,"Media",IF(AC60&lt;=0.8,"Alta","Muy Alta"))))),"")</f>
        <v>Baja</v>
      </c>
      <c r="AE60" s="158">
        <f>+AC60</f>
        <v>0.36</v>
      </c>
      <c r="AF60" s="157" t="str">
        <f>IFERROR(IF(AG60="","",IF(AG60&lt;=0.2,"Leve",IF(AG60&lt;=0.4,"Menor",IF(AG60&lt;=0.6,"Moderado",IF(AG60&lt;=0.8,"Mayor","Catastrófico"))))),"")</f>
        <v>Catastrófico</v>
      </c>
      <c r="AG60" s="158">
        <f>IFERROR(IF(V60="Impacto",(R60-(+R60*Y60)),IF(V60="Probabilidad",R60,"")),"")</f>
        <v>1</v>
      </c>
      <c r="AH60" s="159" t="str">
        <f>IFERROR(IF(OR(AND(AD60="Muy Baja",AF60="Leve"),AND(AD60="Muy Baja",AF60="Menor"),AND(AD60="Baja",AF60="Leve")),"Bajo",IF(OR(AND(AD60="Muy baja",AF60="Moderado"),AND(AD60="Baja",AF60="Menor"),AND(AD60="Baja",AF60="Moderado"),AND(AD60="Media",AF60="Leve"),AND(AD60="Media",AF60="Menor"),AND(AD60="Media",AF60="Moderado"),AND(AD60="Alta",AF60="Leve"),AND(AD60="Alta",AF60="Menor")),"Moderado",IF(OR(AND(AD60="Muy Baja",AF60="Mayor"),AND(AD60="Baja",AF60="Mayor"),AND(AD60="Media",AF60="Mayor"),AND(AD60="Alta",AF60="Moderado"),AND(AD60="Alta",AF60="Mayor"),AND(AD60="Muy Alta",AF60="Leve"),AND(AD60="Muy Alta",AF60="Menor"),AND(AD60="Muy Alta",AF60="Moderado"),AND(AD60="Muy Alta",AF60="Mayor")),"Alto",IF(OR(AND(AD60="Muy Baja",AF60="Catastrófico"),AND(AD60="Baja",AF60="Catastrófico"),AND(AD60="Media",AF60="Catastrófico"),AND(AD60="Alta",AF60="Catastrófico"),AND(AD60="Muy Alta",AF60="Catastrófico")),"Extremo","")))),"")</f>
        <v>Extremo</v>
      </c>
      <c r="AI60" s="161" t="s">
        <v>117</v>
      </c>
      <c r="AJ60" s="181" t="s">
        <v>350</v>
      </c>
      <c r="AK60" s="186" t="s">
        <v>193</v>
      </c>
      <c r="AL60" s="188">
        <v>45293</v>
      </c>
      <c r="AM60" s="194">
        <v>45653</v>
      </c>
      <c r="AN60" s="184" t="s">
        <v>368</v>
      </c>
      <c r="AO60" s="190" t="s">
        <v>269</v>
      </c>
      <c r="AP60" s="182" t="s">
        <v>352</v>
      </c>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row>
    <row r="61" spans="1:73" ht="129.75" customHeight="1" x14ac:dyDescent="0.2">
      <c r="A61" s="214"/>
      <c r="B61" s="220"/>
      <c r="C61" s="222"/>
      <c r="D61" s="181"/>
      <c r="E61" s="181"/>
      <c r="F61" s="181"/>
      <c r="G61" s="215"/>
      <c r="H61" s="181"/>
      <c r="I61" s="181"/>
      <c r="J61" s="217"/>
      <c r="K61" s="183"/>
      <c r="L61" s="185"/>
      <c r="M61" s="205"/>
      <c r="N61" s="206"/>
      <c r="O61" s="203"/>
      <c r="P61" s="239">
        <f>IF(NOT(ISERROR(MATCH(O61,_xlfn.ANCHORARRAY(#REF!),0))),#REF!&amp;"Por favor no seleccionar los criterios de impacto",O61)</f>
        <v>0</v>
      </c>
      <c r="Q61" s="205"/>
      <c r="R61" s="206"/>
      <c r="S61" s="207"/>
      <c r="T61" s="152">
        <v>2</v>
      </c>
      <c r="U61" s="160" t="s">
        <v>348</v>
      </c>
      <c r="V61" s="153" t="str">
        <f>IF(OR(W61="Preventivo",W61="Detectivo"),"Probabilidad",IF(W61="Correctivo","Impacto",""))</f>
        <v>Probabilidad</v>
      </c>
      <c r="W61" s="154" t="s">
        <v>13</v>
      </c>
      <c r="X61" s="154" t="s">
        <v>8</v>
      </c>
      <c r="Y61" s="155" t="str">
        <f t="shared" ref="Y61:Y65" si="57">IF(AND(W61="Preventivo",X61="Automático"),"50%",IF(AND(W61="Preventivo",X61="Manual"),"40%",IF(AND(W61="Detectivo",X61="Automático"),"40%",IF(AND(W61="Detectivo",X61="Manual"),"30%",IF(AND(W61="Correctivo",X61="Automático"),"35%",IF(AND(W61="Correctivo",X61="Manual"),"25%",""))))))</f>
        <v>40%</v>
      </c>
      <c r="Z61" s="154" t="s">
        <v>18</v>
      </c>
      <c r="AA61" s="154" t="s">
        <v>21</v>
      </c>
      <c r="AB61" s="154" t="s">
        <v>112</v>
      </c>
      <c r="AC61" s="156">
        <f>IFERROR(IF(AND(V60="Probabilidad",V61="Probabilidad"),(AE60-(+AE60*Y61)),IF(V61="Probabilidad",(N60-(+N60*Y61)),IF(V61="Impacto",AE60,""))),"")</f>
        <v>0.216</v>
      </c>
      <c r="AD61" s="157" t="str">
        <f t="shared" si="1"/>
        <v>Baja</v>
      </c>
      <c r="AE61" s="158">
        <f t="shared" ref="AE61:AE65" si="58">+AC61</f>
        <v>0.216</v>
      </c>
      <c r="AF61" s="157" t="str">
        <f t="shared" si="3"/>
        <v>Catastrófico</v>
      </c>
      <c r="AG61" s="158">
        <f>IFERROR(IF(AND(V60="Impacto",V61="Impacto"),(AG60-(+AG60*Y61)),IF(V61="Impacto",(R60-(+R60*Y61)),IF(V61="Probabilidad",AG60,""))),"")</f>
        <v>1</v>
      </c>
      <c r="AH61" s="159" t="str">
        <f t="shared" ref="AH61:AH62" si="59">IFERROR(IF(OR(AND(AD61="Muy Baja",AF61="Leve"),AND(AD61="Muy Baja",AF61="Menor"),AND(AD61="Baja",AF61="Leve")),"Bajo",IF(OR(AND(AD61="Muy baja",AF61="Moderado"),AND(AD61="Baja",AF61="Menor"),AND(AD61="Baja",AF61="Moderado"),AND(AD61="Media",AF61="Leve"),AND(AD61="Media",AF61="Menor"),AND(AD61="Media",AF61="Moderado"),AND(AD61="Alta",AF61="Leve"),AND(AD61="Alta",AF61="Menor")),"Moderado",IF(OR(AND(AD61="Muy Baja",AF61="Mayor"),AND(AD61="Baja",AF61="Mayor"),AND(AD61="Media",AF61="Mayor"),AND(AD61="Alta",AF61="Moderado"),AND(AD61="Alta",AF61="Mayor"),AND(AD61="Muy Alta",AF61="Leve"),AND(AD61="Muy Alta",AF61="Menor"),AND(AD61="Muy Alta",AF61="Moderado"),AND(AD61="Muy Alta",AF61="Mayor")),"Alto",IF(OR(AND(AD61="Muy Baja",AF61="Catastrófico"),AND(AD61="Baja",AF61="Catastrófico"),AND(AD61="Media",AF61="Catastrófico"),AND(AD61="Alta",AF61="Catastrófico"),AND(AD61="Muy Alta",AF61="Catastrófico")),"Extremo","")))),"")</f>
        <v>Extremo</v>
      </c>
      <c r="AI61" s="161" t="s">
        <v>117</v>
      </c>
      <c r="AJ61" s="181"/>
      <c r="AK61" s="185"/>
      <c r="AL61" s="187"/>
      <c r="AM61" s="195"/>
      <c r="AN61" s="183"/>
      <c r="AO61" s="190"/>
      <c r="AP61" s="182"/>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row>
    <row r="62" spans="1:73" ht="87" customHeight="1" x14ac:dyDescent="0.2">
      <c r="A62" s="214"/>
      <c r="B62" s="220"/>
      <c r="C62" s="222"/>
      <c r="D62" s="181"/>
      <c r="E62" s="181"/>
      <c r="F62" s="181"/>
      <c r="G62" s="215"/>
      <c r="H62" s="181"/>
      <c r="I62" s="181"/>
      <c r="J62" s="217"/>
      <c r="K62" s="183"/>
      <c r="L62" s="185"/>
      <c r="M62" s="205"/>
      <c r="N62" s="206"/>
      <c r="O62" s="203"/>
      <c r="P62" s="239">
        <f>IF(NOT(ISERROR(MATCH(O62,_xlfn.ANCHORARRAY(#REF!),0))),#REF!&amp;"Por favor no seleccionar los criterios de impacto",O62)</f>
        <v>0</v>
      </c>
      <c r="Q62" s="205"/>
      <c r="R62" s="206"/>
      <c r="S62" s="207"/>
      <c r="T62" s="152">
        <v>3</v>
      </c>
      <c r="U62" s="167" t="s">
        <v>349</v>
      </c>
      <c r="V62" s="153" t="str">
        <f>IF(OR(W62="Preventivo",W62="Detectivo"),"Probabilidad",IF(W62="Correctivo","Impacto",""))</f>
        <v>Probabilidad</v>
      </c>
      <c r="W62" s="154" t="s">
        <v>13</v>
      </c>
      <c r="X62" s="154" t="s">
        <v>8</v>
      </c>
      <c r="Y62" s="155" t="str">
        <f t="shared" si="57"/>
        <v>40%</v>
      </c>
      <c r="Z62" s="154" t="s">
        <v>18</v>
      </c>
      <c r="AA62" s="154" t="s">
        <v>21</v>
      </c>
      <c r="AB62" s="154" t="s">
        <v>112</v>
      </c>
      <c r="AC62" s="156">
        <f>IFERROR(IF(AND(V61="Probabilidad",V62="Probabilidad"),(AE61-(+AE61*Y62)),IF(AND(V61="Impacto",V62="Probabilidad"),(AE60-(+AE60*Y62)),IF(V62="Impacto",AE61,""))),"")</f>
        <v>0.12959999999999999</v>
      </c>
      <c r="AD62" s="157" t="str">
        <f t="shared" si="1"/>
        <v>Muy Baja</v>
      </c>
      <c r="AE62" s="158">
        <f t="shared" si="58"/>
        <v>0.12959999999999999</v>
      </c>
      <c r="AF62" s="157" t="str">
        <f t="shared" si="3"/>
        <v>Catastrófico</v>
      </c>
      <c r="AG62" s="158">
        <f>IFERROR(IF(AND(V61="Impacto",V62="Impacto"),(AG61-(+AG61*Y62)),IF(AND(V61="Probabilidad",V62="Impacto"),(AG60-(+AG60*Y62)),IF(V62="Probabilidad",AG61,""))),"")</f>
        <v>1</v>
      </c>
      <c r="AH62" s="159" t="str">
        <f t="shared" si="59"/>
        <v>Extremo</v>
      </c>
      <c r="AI62" s="161" t="s">
        <v>117</v>
      </c>
      <c r="AJ62" s="181"/>
      <c r="AK62" s="185"/>
      <c r="AL62" s="187"/>
      <c r="AM62" s="195"/>
      <c r="AN62" s="183"/>
      <c r="AO62" s="190"/>
      <c r="AP62" s="182"/>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row>
    <row r="63" spans="1:73" ht="12.75" customHeight="1" x14ac:dyDescent="0.2">
      <c r="A63" s="214"/>
      <c r="B63" s="220"/>
      <c r="C63" s="222"/>
      <c r="D63" s="181"/>
      <c r="E63" s="181"/>
      <c r="F63" s="181"/>
      <c r="G63" s="215"/>
      <c r="H63" s="181"/>
      <c r="I63" s="181"/>
      <c r="J63" s="217"/>
      <c r="K63" s="183"/>
      <c r="L63" s="185"/>
      <c r="M63" s="205"/>
      <c r="N63" s="206"/>
      <c r="O63" s="203"/>
      <c r="P63" s="239">
        <f>IF(NOT(ISERROR(MATCH(O63,_xlfn.ANCHORARRAY(#REF!),0))),#REF!&amp;"Por favor no seleccionar los criterios de impacto",O63)</f>
        <v>0</v>
      </c>
      <c r="Q63" s="205"/>
      <c r="R63" s="206"/>
      <c r="S63" s="207"/>
      <c r="T63" s="152">
        <v>4</v>
      </c>
      <c r="U63" s="160"/>
      <c r="V63" s="153" t="str">
        <f t="shared" ref="V63:V65" si="60">IF(OR(W63="Preventivo",W63="Detectivo"),"Probabilidad",IF(W63="Correctivo","Impacto",""))</f>
        <v/>
      </c>
      <c r="W63" s="154"/>
      <c r="X63" s="154"/>
      <c r="Y63" s="155" t="str">
        <f t="shared" si="57"/>
        <v/>
      </c>
      <c r="Z63" s="154"/>
      <c r="AA63" s="154"/>
      <c r="AB63" s="154"/>
      <c r="AC63" s="156" t="str">
        <f t="shared" ref="AC63:AC65" si="61">IFERROR(IF(AND(V62="Probabilidad",V63="Probabilidad"),(AE62-(+AE62*Y63)),IF(AND(V62="Impacto",V63="Probabilidad"),(AE61-(+AE61*Y63)),IF(V63="Impacto",AE62,""))),"")</f>
        <v/>
      </c>
      <c r="AD63" s="157" t="str">
        <f t="shared" si="1"/>
        <v/>
      </c>
      <c r="AE63" s="158" t="str">
        <f t="shared" si="58"/>
        <v/>
      </c>
      <c r="AF63" s="172" t="str">
        <f t="shared" si="3"/>
        <v/>
      </c>
      <c r="AG63" s="158" t="str">
        <f t="shared" ref="AG63:AG65" si="62">IFERROR(IF(AND(V62="Impacto",V63="Impacto"),(AG62-(+AG62*Y63)),IF(AND(V62="Probabilidad",V63="Impacto"),(AG61-(+AG61*Y63)),IF(V63="Probabilidad",AG62,""))),"")</f>
        <v/>
      </c>
      <c r="AH63" s="159" t="str">
        <f>IFERROR(IF(OR(AND(AD63="Muy Baja",AF63="Leve"),AND(AD63="Muy Baja",AF63="Menor"),AND(AD63="Baja",AF63="Leve")),"Bajo",IF(OR(AND(AD63="Muy baja",AF63="Moderado"),AND(AD63="Baja",AF63="Menor"),AND(AD63="Baja",AF63="Moderado"),AND(AD63="Media",AF63="Leve"),AND(AD63="Media",AF63="Menor"),AND(AD63="Media",AF63="Moderado"),AND(AD63="Alta",AF63="Leve"),AND(AD63="Alta",AF63="Menor")),"Moderado",IF(OR(AND(AD63="Muy Baja",AF63="Mayor"),AND(AD63="Baja",AF63="Mayor"),AND(AD63="Media",AF63="Mayor"),AND(AD63="Alta",AF63="Moderado"),AND(AD63="Alta",AF63="Mayor"),AND(AD63="Muy Alta",AF63="Leve"),AND(AD63="Muy Alta",AF63="Menor"),AND(AD63="Muy Alta",AF63="Moderado"),AND(AD63="Muy Alta",AF63="Mayor")),"Alto",IF(OR(AND(AD63="Muy Baja",AF63="Catastrófico"),AND(AD63="Baja",AF63="Catastrófico"),AND(AD63="Media",AF63="Catastrófico"),AND(AD63="Alta",AF63="Catastrófico"),AND(AD63="Muy Alta",AF63="Catastrófico")),"Extremo","")))),"")</f>
        <v/>
      </c>
      <c r="AI63" s="161"/>
      <c r="AJ63" s="181"/>
      <c r="AK63" s="185"/>
      <c r="AL63" s="187"/>
      <c r="AM63" s="195"/>
      <c r="AN63" s="183"/>
      <c r="AO63" s="190"/>
      <c r="AP63" s="182"/>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row>
    <row r="64" spans="1:73" ht="15" customHeight="1" x14ac:dyDescent="0.2">
      <c r="A64" s="214"/>
      <c r="B64" s="220"/>
      <c r="C64" s="222"/>
      <c r="D64" s="181"/>
      <c r="E64" s="181"/>
      <c r="F64" s="181"/>
      <c r="G64" s="215"/>
      <c r="H64" s="181"/>
      <c r="I64" s="181"/>
      <c r="J64" s="217"/>
      <c r="K64" s="183"/>
      <c r="L64" s="185"/>
      <c r="M64" s="205"/>
      <c r="N64" s="206"/>
      <c r="O64" s="203"/>
      <c r="P64" s="239">
        <f>IF(NOT(ISERROR(MATCH(O64,_xlfn.ANCHORARRAY(#REF!),0))),#REF!&amp;"Por favor no seleccionar los criterios de impacto",O64)</f>
        <v>0</v>
      </c>
      <c r="Q64" s="205"/>
      <c r="R64" s="206"/>
      <c r="S64" s="207"/>
      <c r="T64" s="152">
        <v>5</v>
      </c>
      <c r="U64" s="160"/>
      <c r="V64" s="153" t="str">
        <f t="shared" si="60"/>
        <v/>
      </c>
      <c r="W64" s="154"/>
      <c r="X64" s="154"/>
      <c r="Y64" s="155" t="str">
        <f t="shared" si="57"/>
        <v/>
      </c>
      <c r="Z64" s="154"/>
      <c r="AA64" s="154"/>
      <c r="AB64" s="154"/>
      <c r="AC64" s="156" t="str">
        <f t="shared" si="61"/>
        <v/>
      </c>
      <c r="AD64" s="157" t="str">
        <f t="shared" si="1"/>
        <v/>
      </c>
      <c r="AE64" s="158" t="str">
        <f t="shared" si="58"/>
        <v/>
      </c>
      <c r="AF64" s="172" t="str">
        <f t="shared" si="3"/>
        <v/>
      </c>
      <c r="AG64" s="158" t="str">
        <f t="shared" si="62"/>
        <v/>
      </c>
      <c r="AH64" s="159" t="str">
        <f t="shared" ref="AH64:AH65" si="63">IFERROR(IF(OR(AND(AD64="Muy Baja",AF64="Leve"),AND(AD64="Muy Baja",AF64="Menor"),AND(AD64="Baja",AF64="Leve")),"Bajo",IF(OR(AND(AD64="Muy baja",AF64="Moderado"),AND(AD64="Baja",AF64="Menor"),AND(AD64="Baja",AF64="Moderado"),AND(AD64="Media",AF64="Leve"),AND(AD64="Media",AF64="Menor"),AND(AD64="Media",AF64="Moderado"),AND(AD64="Alta",AF64="Leve"),AND(AD64="Alta",AF64="Menor")),"Moderado",IF(OR(AND(AD64="Muy Baja",AF64="Mayor"),AND(AD64="Baja",AF64="Mayor"),AND(AD64="Media",AF64="Mayor"),AND(AD64="Alta",AF64="Moderado"),AND(AD64="Alta",AF64="Mayor"),AND(AD64="Muy Alta",AF64="Leve"),AND(AD64="Muy Alta",AF64="Menor"),AND(AD64="Muy Alta",AF64="Moderado"),AND(AD64="Muy Alta",AF64="Mayor")),"Alto",IF(OR(AND(AD64="Muy Baja",AF64="Catastrófico"),AND(AD64="Baja",AF64="Catastrófico"),AND(AD64="Media",AF64="Catastrófico"),AND(AD64="Alta",AF64="Catastrófico"),AND(AD64="Muy Alta",AF64="Catastrófico")),"Extremo","")))),"")</f>
        <v/>
      </c>
      <c r="AI64" s="161"/>
      <c r="AJ64" s="181"/>
      <c r="AK64" s="185"/>
      <c r="AL64" s="187"/>
      <c r="AM64" s="195"/>
      <c r="AN64" s="183"/>
      <c r="AO64" s="190"/>
      <c r="AP64" s="182"/>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row>
    <row r="65" spans="1:73" ht="15" customHeight="1" x14ac:dyDescent="0.2">
      <c r="A65" s="214"/>
      <c r="B65" s="220"/>
      <c r="C65" s="222"/>
      <c r="D65" s="181"/>
      <c r="E65" s="181"/>
      <c r="F65" s="181"/>
      <c r="G65" s="215"/>
      <c r="H65" s="181"/>
      <c r="I65" s="181"/>
      <c r="J65" s="217"/>
      <c r="K65" s="183"/>
      <c r="L65" s="185"/>
      <c r="M65" s="205"/>
      <c r="N65" s="206"/>
      <c r="O65" s="203"/>
      <c r="P65" s="239">
        <f>IF(NOT(ISERROR(MATCH(O65,_xlfn.ANCHORARRAY(#REF!),0))),#REF!&amp;"Por favor no seleccionar los criterios de impacto",O65)</f>
        <v>0</v>
      </c>
      <c r="Q65" s="205"/>
      <c r="R65" s="206"/>
      <c r="S65" s="207"/>
      <c r="T65" s="152">
        <v>6</v>
      </c>
      <c r="U65" s="160"/>
      <c r="V65" s="153" t="str">
        <f t="shared" si="60"/>
        <v/>
      </c>
      <c r="W65" s="154"/>
      <c r="X65" s="154"/>
      <c r="Y65" s="155" t="str">
        <f t="shared" si="57"/>
        <v/>
      </c>
      <c r="Z65" s="154"/>
      <c r="AA65" s="154"/>
      <c r="AB65" s="154"/>
      <c r="AC65" s="156" t="str">
        <f t="shared" si="61"/>
        <v/>
      </c>
      <c r="AD65" s="157" t="str">
        <f t="shared" si="1"/>
        <v/>
      </c>
      <c r="AE65" s="158" t="str">
        <f t="shared" si="58"/>
        <v/>
      </c>
      <c r="AF65" s="172" t="str">
        <f t="shared" si="3"/>
        <v/>
      </c>
      <c r="AG65" s="158" t="str">
        <f t="shared" si="62"/>
        <v/>
      </c>
      <c r="AH65" s="159" t="str">
        <f t="shared" si="63"/>
        <v/>
      </c>
      <c r="AI65" s="161"/>
      <c r="AJ65" s="181"/>
      <c r="AK65" s="185"/>
      <c r="AL65" s="187"/>
      <c r="AM65" s="195"/>
      <c r="AN65" s="183"/>
      <c r="AO65" s="191"/>
      <c r="AP65" s="182"/>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row>
    <row r="66" spans="1:73" ht="195.75" customHeight="1" x14ac:dyDescent="0.2">
      <c r="A66" s="214">
        <v>10</v>
      </c>
      <c r="B66" s="219" t="s">
        <v>246</v>
      </c>
      <c r="C66" s="241" t="s">
        <v>373</v>
      </c>
      <c r="D66" s="183" t="s">
        <v>266</v>
      </c>
      <c r="E66" s="181" t="s">
        <v>374</v>
      </c>
      <c r="F66" s="181" t="s">
        <v>375</v>
      </c>
      <c r="G66" s="181" t="s">
        <v>376</v>
      </c>
      <c r="H66" s="197" t="s">
        <v>377</v>
      </c>
      <c r="I66" s="242" t="s">
        <v>385</v>
      </c>
      <c r="J66" s="217" t="s">
        <v>230</v>
      </c>
      <c r="K66" s="183" t="s">
        <v>227</v>
      </c>
      <c r="L66" s="185">
        <v>792</v>
      </c>
      <c r="M66" s="205" t="str">
        <f t="shared" ref="M66" si="64">IF(L66&lt;=0,"",IF(L66&lt;=2,"Muy Baja",IF(L66&lt;=24,"Baja",IF(L66&lt;=500,"Media",IF(L66&lt;=5000,"Alta","Muy Alta")))))</f>
        <v>Alta</v>
      </c>
      <c r="N66" s="206">
        <f t="shared" ref="N66" si="65">IF(M66="","",IF(M66="Muy Baja",0.2,IF(M66="Baja",0.4,IF(M66="Media",0.6,IF(M66="Alta",0.8,IF(M66="Muy Alta",1,))))))</f>
        <v>0.8</v>
      </c>
      <c r="O66" s="240" t="s">
        <v>131</v>
      </c>
      <c r="P66" s="239" t="str">
        <f>IF(NOT(ISERROR(MATCH(O66,'Tabla Impacto'!$B$221:$B$223,0))),'Tabla Impacto'!$F$223&amp;"Por favor no seleccionar los criterios de impacto(Afectación Económica o presupuestal y Pérdida Reputacional)",O66)</f>
        <v xml:space="preserve">     Mayor a 500 SMLMV </v>
      </c>
      <c r="Q66" s="205" t="str">
        <f>IF(OR(P66='Tabla Impacto'!$C$11,P66='Tabla Impacto'!$D$11),"Leve",IF(OR(P66='Tabla Impacto'!$C$12,P66='Tabla Impacto'!$D$12),"Menor",IF(OR(P66='Tabla Impacto'!$C$13,P66='Tabla Impacto'!$D$13),"Moderado",IF(OR(P66='Tabla Impacto'!$C$14,P66='Tabla Impacto'!$D$14),"Mayor",IF(OR(P66='Tabla Impacto'!$C$15,P66='Tabla Impacto'!$D$15),"Catastrófico","")))))</f>
        <v>Catastrófico</v>
      </c>
      <c r="R66" s="206">
        <f t="shared" ref="R66" si="66">IF(Q66="","",IF(Q66="Leve",0.2,IF(Q66="Menor",0.4,IF(Q66="Moderado",0.6,IF(Q66="Mayor",0.8,IF(Q66="Catastrófico",1,))))))</f>
        <v>1</v>
      </c>
      <c r="S66" s="207" t="str">
        <f t="shared" ref="S66" si="67">IF(OR(AND(M66="Muy Baja",Q66="Leve"),AND(M66="Muy Baja",Q66="Menor"),AND(M66="Baja",Q66="Leve")),"Bajo",IF(OR(AND(M66="Muy baja",Q66="Moderado"),AND(M66="Baja",Q66="Menor"),AND(M66="Baja",Q66="Moderado"),AND(M66="Media",Q66="Leve"),AND(M66="Media",Q66="Menor"),AND(M66="Media",Q66="Moderado"),AND(M66="Alta",Q66="Leve"),AND(M66="Alta",Q66="Menor")),"Moderado",IF(OR(AND(M66="Muy Baja",Q66="Mayor"),AND(M66="Baja",Q66="Mayor"),AND(M66="Media",Q66="Mayor"),AND(M66="Alta",Q66="Moderado"),AND(M66="Alta",Q66="Mayor"),AND(M66="Muy Alta",Q66="Leve"),AND(M66="Muy Alta",Q66="Menor"),AND(M66="Muy Alta",Q66="Moderado"),AND(M66="Muy Alta",Q66="Mayor")),"Alto",IF(OR(AND(M66="Muy Baja",Q66="Catastrófico"),AND(M66="Baja",Q66="Catastrófico"),AND(M66="Media",Q66="Catastrófico"),AND(M66="Alta",Q66="Catastrófico"),AND(M66="Muy Alta",Q66="Catastrófico")),"Extremo",""))))</f>
        <v>Extremo</v>
      </c>
      <c r="T66" s="152">
        <v>1</v>
      </c>
      <c r="U66" s="166" t="s">
        <v>378</v>
      </c>
      <c r="V66" s="153" t="str">
        <f>IF(OR(W66="Preventivo",W66="Detectivo"),"Probabilidad",IF(W66="Correctivo","Impacto",""))</f>
        <v>Probabilidad</v>
      </c>
      <c r="W66" s="154" t="s">
        <v>13</v>
      </c>
      <c r="X66" s="154" t="s">
        <v>8</v>
      </c>
      <c r="Y66" s="155" t="str">
        <f>IF(AND(W66="Preventivo",X66="Automático"),"50%",IF(AND(W66="Preventivo",X66="Manual"),"40%",IF(AND(W66="Detectivo",X66="Automático"),"40%",IF(AND(W66="Detectivo",X66="Manual"),"30%",IF(AND(W66="Correctivo",X66="Automático"),"35%",IF(AND(W66="Correctivo",X66="Manual"),"25%",""))))))</f>
        <v>40%</v>
      </c>
      <c r="Z66" s="154" t="s">
        <v>18</v>
      </c>
      <c r="AA66" s="154" t="s">
        <v>22</v>
      </c>
      <c r="AB66" s="154" t="s">
        <v>112</v>
      </c>
      <c r="AC66" s="156">
        <f>IFERROR(IF(V66="Probabilidad",(N66-(+N66*Y66)),IF(V66="Impacto",N66,"")),"")</f>
        <v>0.48</v>
      </c>
      <c r="AD66" s="157" t="str">
        <f>IFERROR(IF(AC66="","",IF(AC66&lt;=0.2,"Muy Baja",IF(AC66&lt;=0.4,"Baja",IF(AC66&lt;=0.6,"Media",IF(AC66&lt;=0.8,"Alta","Muy Alta"))))),"")</f>
        <v>Media</v>
      </c>
      <c r="AE66" s="158">
        <f>+AC66</f>
        <v>0.48</v>
      </c>
      <c r="AF66" s="157" t="str">
        <f>IFERROR(IF(AG66="","",IF(AG66&lt;=0.2,"Leve",IF(AG66&lt;=0.4,"Menor",IF(AG66&lt;=0.6,"Moderado",IF(AG66&lt;=0.8,"Mayor","Catastrófico"))))),"")</f>
        <v>Catastrófico</v>
      </c>
      <c r="AG66" s="158">
        <f>IFERROR(IF(V66="Impacto",(R66-(+R66*Y66)),IF(V66="Probabilidad",R66,"")),"")</f>
        <v>1</v>
      </c>
      <c r="AH66" s="159" t="str">
        <f>IFERROR(IF(OR(AND(AD66="Muy Baja",AF66="Leve"),AND(AD66="Muy Baja",AF66="Menor"),AND(AD66="Baja",AF66="Leve")),"Bajo",IF(OR(AND(AD66="Muy baja",AF66="Moderado"),AND(AD66="Baja",AF66="Menor"),AND(AD66="Baja",AF66="Moderado"),AND(AD66="Media",AF66="Leve"),AND(AD66="Media",AF66="Menor"),AND(AD66="Media",AF66="Moderado"),AND(AD66="Alta",AF66="Leve"),AND(AD66="Alta",AF66="Menor")),"Moderado",IF(OR(AND(AD66="Muy Baja",AF66="Mayor"),AND(AD66="Baja",AF66="Mayor"),AND(AD66="Media",AF66="Mayor"),AND(AD66="Alta",AF66="Moderado"),AND(AD66="Alta",AF66="Mayor"),AND(AD66="Muy Alta",AF66="Leve"),AND(AD66="Muy Alta",AF66="Menor"),AND(AD66="Muy Alta",AF66="Moderado"),AND(AD66="Muy Alta",AF66="Mayor")),"Alto",IF(OR(AND(AD66="Muy Baja",AF66="Catastrófico"),AND(AD66="Baja",AF66="Catastrófico"),AND(AD66="Media",AF66="Catastrófico"),AND(AD66="Alta",AF66="Catastrófico"),AND(AD66="Muy Alta",AF66="Catastrófico")),"Extremo","")))),"")</f>
        <v>Extremo</v>
      </c>
      <c r="AI66" s="161" t="s">
        <v>117</v>
      </c>
      <c r="AJ66" s="181" t="s">
        <v>379</v>
      </c>
      <c r="AK66" s="185" t="s">
        <v>185</v>
      </c>
      <c r="AL66" s="187">
        <v>45293</v>
      </c>
      <c r="AM66" s="195">
        <v>45657</v>
      </c>
      <c r="AN66" s="183" t="s">
        <v>284</v>
      </c>
      <c r="AO66" s="192" t="s">
        <v>269</v>
      </c>
      <c r="AP66" s="181" t="s">
        <v>380</v>
      </c>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row>
    <row r="67" spans="1:73" ht="101.25" customHeight="1" x14ac:dyDescent="0.2">
      <c r="A67" s="214"/>
      <c r="B67" s="220"/>
      <c r="C67" s="241"/>
      <c r="D67" s="183"/>
      <c r="E67" s="181"/>
      <c r="F67" s="181"/>
      <c r="G67" s="181"/>
      <c r="H67" s="197"/>
      <c r="I67" s="242"/>
      <c r="J67" s="217"/>
      <c r="K67" s="183"/>
      <c r="L67" s="185"/>
      <c r="M67" s="205"/>
      <c r="N67" s="206"/>
      <c r="O67" s="240"/>
      <c r="P67" s="239">
        <f>IF(NOT(ISERROR(MATCH(O67,_xlfn.ANCHORARRAY(#REF!),0))),#REF!&amp;"Por favor no seleccionar los criterios de impacto",O67)</f>
        <v>0</v>
      </c>
      <c r="Q67" s="205"/>
      <c r="R67" s="206"/>
      <c r="S67" s="207"/>
      <c r="T67" s="152">
        <v>2</v>
      </c>
      <c r="U67" s="166" t="s">
        <v>381</v>
      </c>
      <c r="V67" s="153" t="str">
        <f>IF(OR(W67="Preventivo",W67="Detectivo"),"Probabilidad",IF(W67="Correctivo","Impacto",""))</f>
        <v>Probabilidad</v>
      </c>
      <c r="W67" s="154" t="s">
        <v>13</v>
      </c>
      <c r="X67" s="154" t="s">
        <v>8</v>
      </c>
      <c r="Y67" s="155" t="str">
        <f t="shared" ref="Y67:Y70" si="68">IF(AND(W67="Preventivo",X67="Automático"),"50%",IF(AND(W67="Preventivo",X67="Manual"),"40%",IF(AND(W67="Detectivo",X67="Automático"),"40%",IF(AND(W67="Detectivo",X67="Manual"),"30%",IF(AND(W67="Correctivo",X67="Automático"),"35%",IF(AND(W67="Correctivo",X67="Manual"),"25%",""))))))</f>
        <v>40%</v>
      </c>
      <c r="Z67" s="154" t="s">
        <v>18</v>
      </c>
      <c r="AA67" s="154" t="s">
        <v>21</v>
      </c>
      <c r="AB67" s="154" t="s">
        <v>112</v>
      </c>
      <c r="AC67" s="156">
        <f>IFERROR(IF(AND(V66="Probabilidad",V67="Probabilidad"),(AE66-(+AE66*Y67)),IF(V67="Probabilidad",(N66-(+N66*Y67)),IF(V67="Impacto",AE66,""))),"")</f>
        <v>0.28799999999999998</v>
      </c>
      <c r="AD67" s="157" t="str">
        <f t="shared" si="1"/>
        <v>Baja</v>
      </c>
      <c r="AE67" s="158">
        <f t="shared" ref="AE67:AE70" si="69">+AC67</f>
        <v>0.28799999999999998</v>
      </c>
      <c r="AF67" s="157" t="str">
        <f t="shared" si="3"/>
        <v>Catastrófico</v>
      </c>
      <c r="AG67" s="158">
        <f>IFERROR(IF(AND(V66="Impacto",V67="Impacto"),(AG66-(+AG66*Y67)),IF(V67="Impacto",(R66-(+R66*Y67)),IF(V67="Probabilidad",AG66,""))),"")</f>
        <v>1</v>
      </c>
      <c r="AH67" s="159" t="str">
        <f t="shared" ref="AH67:AH68" si="70">IFERROR(IF(OR(AND(AD67="Muy Baja",AF67="Leve"),AND(AD67="Muy Baja",AF67="Menor"),AND(AD67="Baja",AF67="Leve")),"Bajo",IF(OR(AND(AD67="Muy baja",AF67="Moderado"),AND(AD67="Baja",AF67="Menor"),AND(AD67="Baja",AF67="Moderado"),AND(AD67="Media",AF67="Leve"),AND(AD67="Media",AF67="Menor"),AND(AD67="Media",AF67="Moderado"),AND(AD67="Alta",AF67="Leve"),AND(AD67="Alta",AF67="Menor")),"Moderado",IF(OR(AND(AD67="Muy Baja",AF67="Mayor"),AND(AD67="Baja",AF67="Mayor"),AND(AD67="Media",AF67="Mayor"),AND(AD67="Alta",AF67="Moderado"),AND(AD67="Alta",AF67="Mayor"),AND(AD67="Muy Alta",AF67="Leve"),AND(AD67="Muy Alta",AF67="Menor"),AND(AD67="Muy Alta",AF67="Moderado"),AND(AD67="Muy Alta",AF67="Mayor")),"Alto",IF(OR(AND(AD67="Muy Baja",AF67="Catastrófico"),AND(AD67="Baja",AF67="Catastrófico"),AND(AD67="Media",AF67="Catastrófico"),AND(AD67="Alta",AF67="Catastrófico"),AND(AD67="Muy Alta",AF67="Catastrófico")),"Extremo","")))),"")</f>
        <v>Extremo</v>
      </c>
      <c r="AI67" s="161" t="s">
        <v>117</v>
      </c>
      <c r="AJ67" s="181"/>
      <c r="AK67" s="185"/>
      <c r="AL67" s="187"/>
      <c r="AM67" s="195"/>
      <c r="AN67" s="183"/>
      <c r="AO67" s="192"/>
      <c r="AP67" s="181"/>
    </row>
    <row r="68" spans="1:73" ht="129" customHeight="1" x14ac:dyDescent="0.2">
      <c r="A68" s="214"/>
      <c r="B68" s="220"/>
      <c r="C68" s="241"/>
      <c r="D68" s="183"/>
      <c r="E68" s="181"/>
      <c r="F68" s="181"/>
      <c r="G68" s="181"/>
      <c r="H68" s="197"/>
      <c r="I68" s="242"/>
      <c r="J68" s="217"/>
      <c r="K68" s="183"/>
      <c r="L68" s="185"/>
      <c r="M68" s="205"/>
      <c r="N68" s="206"/>
      <c r="O68" s="240"/>
      <c r="P68" s="239">
        <f>IF(NOT(ISERROR(MATCH(O68,_xlfn.ANCHORARRAY(#REF!),0))),#REF!&amp;"Por favor no seleccionar los criterios de impacto",O68)</f>
        <v>0</v>
      </c>
      <c r="Q68" s="205"/>
      <c r="R68" s="206"/>
      <c r="S68" s="207"/>
      <c r="T68" s="152">
        <v>3</v>
      </c>
      <c r="U68" s="166" t="s">
        <v>382</v>
      </c>
      <c r="V68" s="153" t="str">
        <f>IF(OR(W68="Preventivo",W68="Detectivo"),"Probabilidad",IF(W68="Correctivo","Impacto",""))</f>
        <v>Probabilidad</v>
      </c>
      <c r="W68" s="154" t="s">
        <v>13</v>
      </c>
      <c r="X68" s="154" t="s">
        <v>8</v>
      </c>
      <c r="Y68" s="155" t="str">
        <f t="shared" si="68"/>
        <v>40%</v>
      </c>
      <c r="Z68" s="154" t="s">
        <v>18</v>
      </c>
      <c r="AA68" s="154" t="s">
        <v>21</v>
      </c>
      <c r="AB68" s="154" t="s">
        <v>112</v>
      </c>
      <c r="AC68" s="156">
        <f>IFERROR(IF(AND(V67="Probabilidad",V68="Probabilidad"),(AE67-(+AE67*Y68)),IF(AND(V67="Impacto",V68="Probabilidad"),(AE66-(+AE66*Y68)),IF(V68="Impacto",AE67,""))),"")</f>
        <v>0.17279999999999998</v>
      </c>
      <c r="AD68" s="157" t="str">
        <f t="shared" si="1"/>
        <v>Muy Baja</v>
      </c>
      <c r="AE68" s="158">
        <f t="shared" si="69"/>
        <v>0.17279999999999998</v>
      </c>
      <c r="AF68" s="157" t="str">
        <f t="shared" si="3"/>
        <v>Catastrófico</v>
      </c>
      <c r="AG68" s="158">
        <f>IFERROR(IF(AND(V67="Impacto",V68="Impacto"),(AG67-(+AG67*Y68)),IF(AND(V67="Probabilidad",V68="Impacto"),(AG66-(+AG66*Y68)),IF(V68="Probabilidad",AG67,""))),"")</f>
        <v>1</v>
      </c>
      <c r="AH68" s="159" t="str">
        <f t="shared" si="70"/>
        <v>Extremo</v>
      </c>
      <c r="AI68" s="161" t="s">
        <v>117</v>
      </c>
      <c r="AJ68" s="181"/>
      <c r="AK68" s="185"/>
      <c r="AL68" s="187"/>
      <c r="AM68" s="195"/>
      <c r="AN68" s="183"/>
      <c r="AO68" s="192"/>
      <c r="AP68" s="181"/>
    </row>
    <row r="69" spans="1:73" ht="128.25" x14ac:dyDescent="0.2">
      <c r="A69" s="214"/>
      <c r="B69" s="220"/>
      <c r="C69" s="241"/>
      <c r="D69" s="183"/>
      <c r="E69" s="181"/>
      <c r="F69" s="181"/>
      <c r="G69" s="181"/>
      <c r="H69" s="197"/>
      <c r="I69" s="242"/>
      <c r="J69" s="217"/>
      <c r="K69" s="183"/>
      <c r="L69" s="185"/>
      <c r="M69" s="205"/>
      <c r="N69" s="206"/>
      <c r="O69" s="240"/>
      <c r="P69" s="239">
        <f>IF(NOT(ISERROR(MATCH(O69,_xlfn.ANCHORARRAY(#REF!),0))),#REF!&amp;"Por favor no seleccionar los criterios de impacto",O69)</f>
        <v>0</v>
      </c>
      <c r="Q69" s="205"/>
      <c r="R69" s="206"/>
      <c r="S69" s="207"/>
      <c r="T69" s="152">
        <v>4</v>
      </c>
      <c r="U69" s="160" t="s">
        <v>383</v>
      </c>
      <c r="V69" s="153" t="str">
        <f t="shared" ref="V69:V70" si="71">IF(OR(W69="Preventivo",W69="Detectivo"),"Probabilidad",IF(W69="Correctivo","Impacto",""))</f>
        <v>Probabilidad</v>
      </c>
      <c r="W69" s="154" t="s">
        <v>14</v>
      </c>
      <c r="X69" s="154" t="s">
        <v>8</v>
      </c>
      <c r="Y69" s="155" t="str">
        <f t="shared" si="68"/>
        <v>30%</v>
      </c>
      <c r="Z69" s="154" t="s">
        <v>18</v>
      </c>
      <c r="AA69" s="154" t="s">
        <v>21</v>
      </c>
      <c r="AB69" s="154" t="s">
        <v>112</v>
      </c>
      <c r="AC69" s="156">
        <f t="shared" ref="AC69:AC70" si="72">IFERROR(IF(AND(V68="Probabilidad",V69="Probabilidad"),(AE68-(+AE68*Y69)),IF(AND(V68="Impacto",V69="Probabilidad"),(AE67-(+AE67*Y69)),IF(V69="Impacto",AE68,""))),"")</f>
        <v>0.12095999999999998</v>
      </c>
      <c r="AD69" s="157" t="str">
        <f t="shared" si="1"/>
        <v>Muy Baja</v>
      </c>
      <c r="AE69" s="158">
        <f t="shared" si="69"/>
        <v>0.12095999999999998</v>
      </c>
      <c r="AF69" s="157" t="str">
        <f t="shared" si="3"/>
        <v>Catastrófico</v>
      </c>
      <c r="AG69" s="158">
        <f t="shared" ref="AG69:AG70" si="73">IFERROR(IF(AND(V68="Impacto",V69="Impacto"),(AG68-(+AG68*Y69)),IF(AND(V68="Probabilidad",V69="Impacto"),(AG67-(+AG67*Y69)),IF(V69="Probabilidad",AG68,""))),"")</f>
        <v>1</v>
      </c>
      <c r="AH69" s="159" t="str">
        <f>IFERROR(IF(OR(AND(AD69="Muy Baja",AF69="Leve"),AND(AD69="Muy Baja",AF69="Menor"),AND(AD69="Baja",AF69="Leve")),"Bajo",IF(OR(AND(AD69="Muy baja",AF69="Moderado"),AND(AD69="Baja",AF69="Menor"),AND(AD69="Baja",AF69="Moderado"),AND(AD69="Media",AF69="Leve"),AND(AD69="Media",AF69="Menor"),AND(AD69="Media",AF69="Moderado"),AND(AD69="Alta",AF69="Leve"),AND(AD69="Alta",AF69="Menor")),"Moderado",IF(OR(AND(AD69="Muy Baja",AF69="Mayor"),AND(AD69="Baja",AF69="Mayor"),AND(AD69="Media",AF69="Mayor"),AND(AD69="Alta",AF69="Moderado"),AND(AD69="Alta",AF69="Mayor"),AND(AD69="Muy Alta",AF69="Leve"),AND(AD69="Muy Alta",AF69="Menor"),AND(AD69="Muy Alta",AF69="Moderado"),AND(AD69="Muy Alta",AF69="Mayor")),"Alto",IF(OR(AND(AD69="Muy Baja",AF69="Catastrófico"),AND(AD69="Baja",AF69="Catastrófico"),AND(AD69="Media",AF69="Catastrófico"),AND(AD69="Alta",AF69="Catastrófico"),AND(AD69="Muy Alta",AF69="Catastrófico")),"Extremo","")))),"")</f>
        <v>Extremo</v>
      </c>
      <c r="AI69" s="161" t="s">
        <v>117</v>
      </c>
      <c r="AJ69" s="181"/>
      <c r="AK69" s="185"/>
      <c r="AL69" s="187"/>
      <c r="AM69" s="195"/>
      <c r="AN69" s="183"/>
      <c r="AO69" s="192"/>
      <c r="AP69" s="181"/>
    </row>
    <row r="70" spans="1:73" ht="114" x14ac:dyDescent="0.2">
      <c r="A70" s="214"/>
      <c r="B70" s="220"/>
      <c r="C70" s="241"/>
      <c r="D70" s="183"/>
      <c r="E70" s="181"/>
      <c r="F70" s="181"/>
      <c r="G70" s="181"/>
      <c r="H70" s="197"/>
      <c r="I70" s="242"/>
      <c r="J70" s="217"/>
      <c r="K70" s="183"/>
      <c r="L70" s="185"/>
      <c r="M70" s="205"/>
      <c r="N70" s="206"/>
      <c r="O70" s="240"/>
      <c r="P70" s="239">
        <f>IF(NOT(ISERROR(MATCH(O70,_xlfn.ANCHORARRAY(#REF!),0))),N71&amp;"Por favor no seleccionar los criterios de impacto",O70)</f>
        <v>0</v>
      </c>
      <c r="Q70" s="205"/>
      <c r="R70" s="206"/>
      <c r="S70" s="207"/>
      <c r="T70" s="152">
        <v>5</v>
      </c>
      <c r="U70" s="160" t="s">
        <v>384</v>
      </c>
      <c r="V70" s="153" t="str">
        <f t="shared" si="71"/>
        <v>Probabilidad</v>
      </c>
      <c r="W70" s="154" t="s">
        <v>14</v>
      </c>
      <c r="X70" s="154" t="s">
        <v>8</v>
      </c>
      <c r="Y70" s="155" t="str">
        <f t="shared" si="68"/>
        <v>30%</v>
      </c>
      <c r="Z70" s="154" t="s">
        <v>18</v>
      </c>
      <c r="AA70" s="154" t="s">
        <v>21</v>
      </c>
      <c r="AB70" s="154" t="s">
        <v>112</v>
      </c>
      <c r="AC70" s="156">
        <f t="shared" si="72"/>
        <v>8.4671999999999997E-2</v>
      </c>
      <c r="AD70" s="157" t="str">
        <f t="shared" si="1"/>
        <v>Muy Baja</v>
      </c>
      <c r="AE70" s="158">
        <f t="shared" si="69"/>
        <v>8.4671999999999997E-2</v>
      </c>
      <c r="AF70" s="157" t="str">
        <f t="shared" si="3"/>
        <v>Catastrófico</v>
      </c>
      <c r="AG70" s="158">
        <f t="shared" si="73"/>
        <v>1</v>
      </c>
      <c r="AH70" s="159" t="str">
        <f t="shared" ref="AH70" si="74">IFERROR(IF(OR(AND(AD70="Muy Baja",AF70="Leve"),AND(AD70="Muy Baja",AF70="Menor"),AND(AD70="Baja",AF70="Leve")),"Bajo",IF(OR(AND(AD70="Muy baja",AF70="Moderado"),AND(AD70="Baja",AF70="Menor"),AND(AD70="Baja",AF70="Moderado"),AND(AD70="Media",AF70="Leve"),AND(AD70="Media",AF70="Menor"),AND(AD70="Media",AF70="Moderado"),AND(AD70="Alta",AF70="Leve"),AND(AD70="Alta",AF70="Menor")),"Moderado",IF(OR(AND(AD70="Muy Baja",AF70="Mayor"),AND(AD70="Baja",AF70="Mayor"),AND(AD70="Media",AF70="Mayor"),AND(AD70="Alta",AF70="Moderado"),AND(AD70="Alta",AF70="Mayor"),AND(AD70="Muy Alta",AF70="Leve"),AND(AD70="Muy Alta",AF70="Menor"),AND(AD70="Muy Alta",AF70="Moderado"),AND(AD70="Muy Alta",AF70="Mayor")),"Alto",IF(OR(AND(AD70="Muy Baja",AF70="Catastrófico"),AND(AD70="Baja",AF70="Catastrófico"),AND(AD70="Media",AF70="Catastrófico"),AND(AD70="Alta",AF70="Catastrófico"),AND(AD70="Muy Alta",AF70="Catastrófico")),"Extremo","")))),"")</f>
        <v>Extremo</v>
      </c>
      <c r="AI70" s="161" t="s">
        <v>117</v>
      </c>
      <c r="AJ70" s="181"/>
      <c r="AK70" s="185"/>
      <c r="AL70" s="187"/>
      <c r="AM70" s="195"/>
      <c r="AN70" s="183"/>
      <c r="AO70" s="192"/>
      <c r="AP70" s="181"/>
    </row>
    <row r="71" spans="1:73" ht="150.75" customHeight="1" x14ac:dyDescent="0.2">
      <c r="A71" s="214">
        <v>11</v>
      </c>
      <c r="B71" s="241" t="s">
        <v>246</v>
      </c>
      <c r="C71" s="241" t="s">
        <v>373</v>
      </c>
      <c r="D71" s="183" t="s">
        <v>266</v>
      </c>
      <c r="E71" s="181" t="s">
        <v>386</v>
      </c>
      <c r="F71" s="181" t="s">
        <v>387</v>
      </c>
      <c r="G71" s="181" t="s">
        <v>388</v>
      </c>
      <c r="H71" s="197" t="s">
        <v>389</v>
      </c>
      <c r="I71" s="242" t="s">
        <v>390</v>
      </c>
      <c r="J71" s="217" t="s">
        <v>237</v>
      </c>
      <c r="K71" s="183" t="s">
        <v>242</v>
      </c>
      <c r="L71" s="185">
        <v>792</v>
      </c>
      <c r="M71" s="205" t="str">
        <f t="shared" ref="M71" si="75">IF(L71&lt;=0,"",IF(L71&lt;=2,"Muy Baja",IF(L71&lt;=24,"Baja",IF(L71&lt;=500,"Media",IF(L71&lt;=5000,"Alta","Muy Alta")))))</f>
        <v>Alta</v>
      </c>
      <c r="N71" s="206">
        <f t="shared" ref="N71" si="76">IF(M71="","",IF(M71="Muy Baja",0.2,IF(M71="Baja",0.4,IF(M71="Media",0.6,IF(M71="Alta",0.8,IF(M71="Muy Alta",1,))))))</f>
        <v>0.8</v>
      </c>
      <c r="O71" s="203" t="s">
        <v>136</v>
      </c>
      <c r="P71" s="239" t="str">
        <f>IF(NOT(ISERROR(MATCH(O71,'Tabla Impacto'!$B$221:$B$223,0))),'Tabla Impacto'!$F$223&amp;"Por favor no seleccionar los criterios de impacto(Afectación Económica o presupuestal y Pérdida Reputacional)",O71)</f>
        <v xml:space="preserve">     El riesgo afecta la imagen de la entidad a nivel nacional, con efecto publicitarios sostenible a nivel país</v>
      </c>
      <c r="Q71" s="205" t="str">
        <f>IF(OR(P71='Tabla Impacto'!$C$11,P71='Tabla Impacto'!$D$11),"Leve",IF(OR(P71='Tabla Impacto'!$C$12,P71='Tabla Impacto'!$D$12),"Menor",IF(OR(P71='Tabla Impacto'!$C$13,P71='Tabla Impacto'!$D$13),"Moderado",IF(OR(P71='Tabla Impacto'!$C$14,P71='Tabla Impacto'!$D$14),"Mayor",IF(OR(P71='Tabla Impacto'!$C$15,P71='Tabla Impacto'!$D$15),"Catastrófico","")))))</f>
        <v>Catastrófico</v>
      </c>
      <c r="R71" s="206">
        <f t="shared" ref="R71" si="77">IF(Q71="","",IF(Q71="Leve",0.2,IF(Q71="Menor",0.4,IF(Q71="Moderado",0.6,IF(Q71="Mayor",0.8,IF(Q71="Catastrófico",1,))))))</f>
        <v>1</v>
      </c>
      <c r="S71" s="207" t="str">
        <f t="shared" ref="S71" si="78">IF(OR(AND(M71="Muy Baja",Q71="Leve"),AND(M71="Muy Baja",Q71="Menor"),AND(M71="Baja",Q71="Leve")),"Bajo",IF(OR(AND(M71="Muy baja",Q71="Moderado"),AND(M71="Baja",Q71="Menor"),AND(M71="Baja",Q71="Moderado"),AND(M71="Media",Q71="Leve"),AND(M71="Media",Q71="Menor"),AND(M71="Media",Q71="Moderado"),AND(M71="Alta",Q71="Leve"),AND(M71="Alta",Q71="Menor")),"Moderado",IF(OR(AND(M71="Muy Baja",Q71="Mayor"),AND(M71="Baja",Q71="Mayor"),AND(M71="Media",Q71="Mayor"),AND(M71="Alta",Q71="Moderado"),AND(M71="Alta",Q71="Mayor"),AND(M71="Muy Alta",Q71="Leve"),AND(M71="Muy Alta",Q71="Menor"),AND(M71="Muy Alta",Q71="Moderado"),AND(M71="Muy Alta",Q71="Mayor")),"Alto",IF(OR(AND(M71="Muy Baja",Q71="Catastrófico"),AND(M71="Baja",Q71="Catastrófico"),AND(M71="Media",Q71="Catastrófico"),AND(M71="Alta",Q71="Catastrófico"),AND(M71="Muy Alta",Q71="Catastrófico")),"Extremo",""))))</f>
        <v>Extremo</v>
      </c>
      <c r="T71" s="152">
        <v>1</v>
      </c>
      <c r="U71" s="166" t="s">
        <v>391</v>
      </c>
      <c r="V71" s="153" t="str">
        <f>IF(OR(W71="Preventivo",W71="Detectivo"),"Probabilidad",IF(W71="Correctivo","Impacto",""))</f>
        <v>Probabilidad</v>
      </c>
      <c r="W71" s="154" t="s">
        <v>13</v>
      </c>
      <c r="X71" s="154" t="s">
        <v>8</v>
      </c>
      <c r="Y71" s="155" t="str">
        <f>IF(AND(W71="Preventivo",X71="Automático"),"50%",IF(AND(W71="Preventivo",X71="Manual"),"40%",IF(AND(W71="Detectivo",X71="Automático"),"40%",IF(AND(W71="Detectivo",X71="Manual"),"30%",IF(AND(W71="Correctivo",X71="Automático"),"35%",IF(AND(W71="Correctivo",X71="Manual"),"25%",""))))))</f>
        <v>40%</v>
      </c>
      <c r="Z71" s="154" t="s">
        <v>18</v>
      </c>
      <c r="AA71" s="154" t="s">
        <v>21</v>
      </c>
      <c r="AB71" s="154" t="s">
        <v>112</v>
      </c>
      <c r="AC71" s="156">
        <f>IFERROR(IF(V71="Probabilidad",(N71-(+N71*Y71)),IF(V71="Impacto",N71,"")),"")</f>
        <v>0.48</v>
      </c>
      <c r="AD71" s="157" t="str">
        <f>IFERROR(IF(AC71="","",IF(AC71&lt;=0.2,"Muy Baja",IF(AC71&lt;=0.4,"Baja",IF(AC71&lt;=0.6,"Media",IF(AC71&lt;=0.8,"Alta","Muy Alta"))))),"")</f>
        <v>Media</v>
      </c>
      <c r="AE71" s="158">
        <f>+AC71</f>
        <v>0.48</v>
      </c>
      <c r="AF71" s="157" t="str">
        <f>IFERROR(IF(AG71="","",IF(AG71&lt;=0.2,"Leve",IF(AG71&lt;=0.4,"Menor",IF(AG71&lt;=0.6,"Moderado",IF(AG71&lt;=0.8,"Mayor","Catastrófico"))))),"")</f>
        <v>Catastrófico</v>
      </c>
      <c r="AG71" s="158">
        <f>IFERROR(IF(V71="Impacto",(R71-(+R71*Y71)),IF(V71="Probabilidad",R71,"")),"")</f>
        <v>1</v>
      </c>
      <c r="AH71" s="159" t="str">
        <f>IFERROR(IF(OR(AND(AD71="Muy Baja",AF71="Leve"),AND(AD71="Muy Baja",AF71="Menor"),AND(AD71="Baja",AF71="Leve")),"Bajo",IF(OR(AND(AD71="Muy baja",AF71="Moderado"),AND(AD71="Baja",AF71="Menor"),AND(AD71="Baja",AF71="Moderado"),AND(AD71="Media",AF71="Leve"),AND(AD71="Media",AF71="Menor"),AND(AD71="Media",AF71="Moderado"),AND(AD71="Alta",AF71="Leve"),AND(AD71="Alta",AF71="Menor")),"Moderado",IF(OR(AND(AD71="Muy Baja",AF71="Mayor"),AND(AD71="Baja",AF71="Mayor"),AND(AD71="Media",AF71="Mayor"),AND(AD71="Alta",AF71="Moderado"),AND(AD71="Alta",AF71="Mayor"),AND(AD71="Muy Alta",AF71="Leve"),AND(AD71="Muy Alta",AF71="Menor"),AND(AD71="Muy Alta",AF71="Moderado"),AND(AD71="Muy Alta",AF71="Mayor")),"Alto",IF(OR(AND(AD71="Muy Baja",AF71="Catastrófico"),AND(AD71="Baja",AF71="Catastrófico"),AND(AD71="Media",AF71="Catastrófico"),AND(AD71="Alta",AF71="Catastrófico"),AND(AD71="Muy Alta",AF71="Catastrófico")),"Extremo","")))),"")</f>
        <v>Extremo</v>
      </c>
      <c r="AI71" s="161" t="s">
        <v>117</v>
      </c>
      <c r="AJ71" s="197" t="s">
        <v>396</v>
      </c>
      <c r="AK71" s="185" t="s">
        <v>185</v>
      </c>
      <c r="AL71" s="187">
        <v>45293</v>
      </c>
      <c r="AM71" s="195">
        <v>45657</v>
      </c>
      <c r="AN71" s="183" t="s">
        <v>284</v>
      </c>
      <c r="AO71" s="192" t="s">
        <v>269</v>
      </c>
      <c r="AP71" s="197" t="s">
        <v>397</v>
      </c>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row>
    <row r="72" spans="1:73" ht="221.25" customHeight="1" x14ac:dyDescent="0.2">
      <c r="A72" s="214"/>
      <c r="B72" s="241"/>
      <c r="C72" s="241"/>
      <c r="D72" s="183"/>
      <c r="E72" s="181"/>
      <c r="F72" s="181"/>
      <c r="G72" s="181"/>
      <c r="H72" s="197"/>
      <c r="I72" s="242"/>
      <c r="J72" s="217"/>
      <c r="K72" s="183"/>
      <c r="L72" s="185"/>
      <c r="M72" s="205"/>
      <c r="N72" s="206"/>
      <c r="O72" s="203"/>
      <c r="P72" s="239">
        <f>IF(NOT(ISERROR(MATCH(O72,_xlfn.ANCHORARRAY(#REF!),0))),#REF!&amp;"Por favor no seleccionar los criterios de impacto",O72)</f>
        <v>0</v>
      </c>
      <c r="Q72" s="205"/>
      <c r="R72" s="206"/>
      <c r="S72" s="207"/>
      <c r="T72" s="152">
        <v>2</v>
      </c>
      <c r="U72" s="166" t="s">
        <v>392</v>
      </c>
      <c r="V72" s="153" t="str">
        <f>IF(OR(W72="Preventivo",W72="Detectivo"),"Probabilidad",IF(W72="Correctivo","Impacto",""))</f>
        <v>Probabilidad</v>
      </c>
      <c r="W72" s="154" t="s">
        <v>13</v>
      </c>
      <c r="X72" s="154" t="s">
        <v>8</v>
      </c>
      <c r="Y72" s="155" t="str">
        <f t="shared" ref="Y72:Y75" si="79">IF(AND(W72="Preventivo",X72="Automático"),"50%",IF(AND(W72="Preventivo",X72="Manual"),"40%",IF(AND(W72="Detectivo",X72="Automático"),"40%",IF(AND(W72="Detectivo",X72="Manual"),"30%",IF(AND(W72="Correctivo",X72="Automático"),"35%",IF(AND(W72="Correctivo",X72="Manual"),"25%",""))))))</f>
        <v>40%</v>
      </c>
      <c r="Z72" s="154" t="s">
        <v>18</v>
      </c>
      <c r="AA72" s="154" t="s">
        <v>21</v>
      </c>
      <c r="AB72" s="154" t="s">
        <v>112</v>
      </c>
      <c r="AC72" s="156">
        <f>IFERROR(IF(AND(V71="Probabilidad",V72="Probabilidad"),(AE71-(+AE71*Y72)),IF(V72="Probabilidad",(N71-(+N71*Y72)),IF(V72="Impacto",AE71,""))),"")</f>
        <v>0.28799999999999998</v>
      </c>
      <c r="AD72" s="157" t="str">
        <f t="shared" ref="AD72:AD75" si="80">IFERROR(IF(AC72="","",IF(AC72&lt;=0.2,"Muy Baja",IF(AC72&lt;=0.4,"Baja",IF(AC72&lt;=0.6,"Media",IF(AC72&lt;=0.8,"Alta","Muy Alta"))))),"")</f>
        <v>Baja</v>
      </c>
      <c r="AE72" s="158">
        <f t="shared" ref="AE72:AE75" si="81">+AC72</f>
        <v>0.28799999999999998</v>
      </c>
      <c r="AF72" s="157" t="str">
        <f t="shared" ref="AF72:AF75" si="82">IFERROR(IF(AG72="","",IF(AG72&lt;=0.2,"Leve",IF(AG72&lt;=0.4,"Menor",IF(AG72&lt;=0.6,"Moderado",IF(AG72&lt;=0.8,"Mayor","Catastrófico"))))),"")</f>
        <v>Catastrófico</v>
      </c>
      <c r="AG72" s="158">
        <f>IFERROR(IF(AND(V71="Impacto",V72="Impacto"),(AG71-(+AG71*Y72)),IF(V72="Impacto",(R71-(+R71*Y72)),IF(V72="Probabilidad",AG71,""))),"")</f>
        <v>1</v>
      </c>
      <c r="AH72" s="159" t="str">
        <f t="shared" ref="AH72:AH73" si="83">IFERROR(IF(OR(AND(AD72="Muy Baja",AF72="Leve"),AND(AD72="Muy Baja",AF72="Menor"),AND(AD72="Baja",AF72="Leve")),"Bajo",IF(OR(AND(AD72="Muy baja",AF72="Moderado"),AND(AD72="Baja",AF72="Menor"),AND(AD72="Baja",AF72="Moderado"),AND(AD72="Media",AF72="Leve"),AND(AD72="Media",AF72="Menor"),AND(AD72="Media",AF72="Moderado"),AND(AD72="Alta",AF72="Leve"),AND(AD72="Alta",AF72="Menor")),"Moderado",IF(OR(AND(AD72="Muy Baja",AF72="Mayor"),AND(AD72="Baja",AF72="Mayor"),AND(AD72="Media",AF72="Mayor"),AND(AD72="Alta",AF72="Moderado"),AND(AD72="Alta",AF72="Mayor"),AND(AD72="Muy Alta",AF72="Leve"),AND(AD72="Muy Alta",AF72="Menor"),AND(AD72="Muy Alta",AF72="Moderado"),AND(AD72="Muy Alta",AF72="Mayor")),"Alto",IF(OR(AND(AD72="Muy Baja",AF72="Catastrófico"),AND(AD72="Baja",AF72="Catastrófico"),AND(AD72="Media",AF72="Catastrófico"),AND(AD72="Alta",AF72="Catastrófico"),AND(AD72="Muy Alta",AF72="Catastrófico")),"Extremo","")))),"")</f>
        <v>Extremo</v>
      </c>
      <c r="AI72" s="161" t="s">
        <v>117</v>
      </c>
      <c r="AJ72" s="197"/>
      <c r="AK72" s="185"/>
      <c r="AL72" s="187"/>
      <c r="AM72" s="195"/>
      <c r="AN72" s="183"/>
      <c r="AO72" s="192"/>
      <c r="AP72" s="197"/>
    </row>
    <row r="73" spans="1:73" ht="141" customHeight="1" x14ac:dyDescent="0.2">
      <c r="A73" s="214"/>
      <c r="B73" s="241"/>
      <c r="C73" s="241"/>
      <c r="D73" s="183"/>
      <c r="E73" s="181"/>
      <c r="F73" s="181"/>
      <c r="G73" s="181"/>
      <c r="H73" s="197"/>
      <c r="I73" s="242"/>
      <c r="J73" s="217"/>
      <c r="K73" s="183"/>
      <c r="L73" s="185"/>
      <c r="M73" s="205"/>
      <c r="N73" s="206"/>
      <c r="O73" s="203"/>
      <c r="P73" s="239">
        <f>IF(NOT(ISERROR(MATCH(O73,_xlfn.ANCHORARRAY(#REF!),0))),#REF!&amp;"Por favor no seleccionar los criterios de impacto",O73)</f>
        <v>0</v>
      </c>
      <c r="Q73" s="205"/>
      <c r="R73" s="206"/>
      <c r="S73" s="207"/>
      <c r="T73" s="152">
        <v>3</v>
      </c>
      <c r="U73" s="166" t="s">
        <v>393</v>
      </c>
      <c r="V73" s="153" t="str">
        <f>IF(OR(W73="Preventivo",W73="Detectivo"),"Probabilidad",IF(W73="Correctivo","Impacto",""))</f>
        <v>Probabilidad</v>
      </c>
      <c r="W73" s="154" t="s">
        <v>13</v>
      </c>
      <c r="X73" s="154" t="s">
        <v>8</v>
      </c>
      <c r="Y73" s="155" t="str">
        <f t="shared" si="79"/>
        <v>40%</v>
      </c>
      <c r="Z73" s="154" t="s">
        <v>18</v>
      </c>
      <c r="AA73" s="154" t="s">
        <v>21</v>
      </c>
      <c r="AB73" s="154" t="s">
        <v>112</v>
      </c>
      <c r="AC73" s="156">
        <f>IFERROR(IF(AND(V72="Probabilidad",V73="Probabilidad"),(AE72-(+AE72*Y73)),IF(AND(V72="Impacto",V73="Probabilidad"),(AE71-(+AE71*Y73)),IF(V73="Impacto",AE72,""))),"")</f>
        <v>0.17279999999999998</v>
      </c>
      <c r="AD73" s="157" t="str">
        <f t="shared" si="80"/>
        <v>Muy Baja</v>
      </c>
      <c r="AE73" s="158">
        <f t="shared" si="81"/>
        <v>0.17279999999999998</v>
      </c>
      <c r="AF73" s="157" t="str">
        <f t="shared" si="82"/>
        <v>Catastrófico</v>
      </c>
      <c r="AG73" s="158">
        <f>IFERROR(IF(AND(V72="Impacto",V73="Impacto"),(AG72-(+AG72*Y73)),IF(AND(V72="Probabilidad",V73="Impacto"),(AG71-(+AG71*Y73)),IF(V73="Probabilidad",AG72,""))),"")</f>
        <v>1</v>
      </c>
      <c r="AH73" s="159" t="str">
        <f t="shared" si="83"/>
        <v>Extremo</v>
      </c>
      <c r="AI73" s="161" t="s">
        <v>117</v>
      </c>
      <c r="AJ73" s="197"/>
      <c r="AK73" s="185"/>
      <c r="AL73" s="187"/>
      <c r="AM73" s="195"/>
      <c r="AN73" s="183"/>
      <c r="AO73" s="192"/>
      <c r="AP73" s="197"/>
    </row>
    <row r="74" spans="1:73" ht="99" customHeight="1" x14ac:dyDescent="0.2">
      <c r="A74" s="214"/>
      <c r="B74" s="241"/>
      <c r="C74" s="241"/>
      <c r="D74" s="183"/>
      <c r="E74" s="181"/>
      <c r="F74" s="181"/>
      <c r="G74" s="181"/>
      <c r="H74" s="197"/>
      <c r="I74" s="242"/>
      <c r="J74" s="217"/>
      <c r="K74" s="183"/>
      <c r="L74" s="185"/>
      <c r="M74" s="205"/>
      <c r="N74" s="206"/>
      <c r="O74" s="203"/>
      <c r="P74" s="239">
        <f>IF(NOT(ISERROR(MATCH(O74,_xlfn.ANCHORARRAY(#REF!),0))),#REF!&amp;"Por favor no seleccionar los criterios de impacto",O74)</f>
        <v>0</v>
      </c>
      <c r="Q74" s="205"/>
      <c r="R74" s="206"/>
      <c r="S74" s="207"/>
      <c r="T74" s="152">
        <v>4</v>
      </c>
      <c r="U74" s="160" t="s">
        <v>394</v>
      </c>
      <c r="V74" s="153" t="str">
        <f t="shared" ref="V74:V75" si="84">IF(OR(W74="Preventivo",W74="Detectivo"),"Probabilidad",IF(W74="Correctivo","Impacto",""))</f>
        <v>Probabilidad</v>
      </c>
      <c r="W74" s="154" t="s">
        <v>13</v>
      </c>
      <c r="X74" s="154" t="s">
        <v>8</v>
      </c>
      <c r="Y74" s="155" t="str">
        <f t="shared" si="79"/>
        <v>40%</v>
      </c>
      <c r="Z74" s="154" t="s">
        <v>18</v>
      </c>
      <c r="AA74" s="154" t="s">
        <v>21</v>
      </c>
      <c r="AB74" s="154" t="s">
        <v>112</v>
      </c>
      <c r="AC74" s="156">
        <f t="shared" ref="AC74:AC75" si="85">IFERROR(IF(AND(V73="Probabilidad",V74="Probabilidad"),(AE73-(+AE73*Y74)),IF(AND(V73="Impacto",V74="Probabilidad"),(AE72-(+AE72*Y74)),IF(V74="Impacto",AE73,""))),"")</f>
        <v>0.10367999999999998</v>
      </c>
      <c r="AD74" s="157" t="str">
        <f t="shared" si="80"/>
        <v>Muy Baja</v>
      </c>
      <c r="AE74" s="158">
        <f t="shared" si="81"/>
        <v>0.10367999999999998</v>
      </c>
      <c r="AF74" s="157" t="str">
        <f t="shared" si="82"/>
        <v>Catastrófico</v>
      </c>
      <c r="AG74" s="158">
        <f t="shared" ref="AG74:AG75" si="86">IFERROR(IF(AND(V73="Impacto",V74="Impacto"),(AG73-(+AG73*Y74)),IF(AND(V73="Probabilidad",V74="Impacto"),(AG72-(+AG72*Y74)),IF(V74="Probabilidad",AG73,""))),"")</f>
        <v>1</v>
      </c>
      <c r="AH74" s="159" t="str">
        <f>IFERROR(IF(OR(AND(AD74="Muy Baja",AF74="Leve"),AND(AD74="Muy Baja",AF74="Menor"),AND(AD74="Baja",AF74="Leve")),"Bajo",IF(OR(AND(AD74="Muy baja",AF74="Moderado"),AND(AD74="Baja",AF74="Menor"),AND(AD74="Baja",AF74="Moderado"),AND(AD74="Media",AF74="Leve"),AND(AD74="Media",AF74="Menor"),AND(AD74="Media",AF74="Moderado"),AND(AD74="Alta",AF74="Leve"),AND(AD74="Alta",AF74="Menor")),"Moderado",IF(OR(AND(AD74="Muy Baja",AF74="Mayor"),AND(AD74="Baja",AF74="Mayor"),AND(AD74="Media",AF74="Mayor"),AND(AD74="Alta",AF74="Moderado"),AND(AD74="Alta",AF74="Mayor"),AND(AD74="Muy Alta",AF74="Leve"),AND(AD74="Muy Alta",AF74="Menor"),AND(AD74="Muy Alta",AF74="Moderado"),AND(AD74="Muy Alta",AF74="Mayor")),"Alto",IF(OR(AND(AD74="Muy Baja",AF74="Catastrófico"),AND(AD74="Baja",AF74="Catastrófico"),AND(AD74="Media",AF74="Catastrófico"),AND(AD74="Alta",AF74="Catastrófico"),AND(AD74="Muy Alta",AF74="Catastrófico")),"Extremo","")))),"")</f>
        <v>Extremo</v>
      </c>
      <c r="AI74" s="161" t="s">
        <v>117</v>
      </c>
      <c r="AJ74" s="197"/>
      <c r="AK74" s="185"/>
      <c r="AL74" s="187"/>
      <c r="AM74" s="195"/>
      <c r="AN74" s="183"/>
      <c r="AO74" s="192"/>
      <c r="AP74" s="197"/>
    </row>
    <row r="75" spans="1:73" ht="114" x14ac:dyDescent="0.2">
      <c r="A75" s="214"/>
      <c r="B75" s="241"/>
      <c r="C75" s="241"/>
      <c r="D75" s="183"/>
      <c r="E75" s="181"/>
      <c r="F75" s="181"/>
      <c r="G75" s="181"/>
      <c r="H75" s="197"/>
      <c r="I75" s="242"/>
      <c r="J75" s="217"/>
      <c r="K75" s="183"/>
      <c r="L75" s="185"/>
      <c r="M75" s="205"/>
      <c r="N75" s="206"/>
      <c r="O75" s="203"/>
      <c r="P75" s="239">
        <f>IF(NOT(ISERROR(MATCH(O75,_xlfn.ANCHORARRAY(#REF!),0))),N77&amp;"Por favor no seleccionar los criterios de impacto",O75)</f>
        <v>0</v>
      </c>
      <c r="Q75" s="205"/>
      <c r="R75" s="206"/>
      <c r="S75" s="207"/>
      <c r="T75" s="152">
        <v>5</v>
      </c>
      <c r="U75" s="160" t="s">
        <v>395</v>
      </c>
      <c r="V75" s="153" t="str">
        <f t="shared" si="84"/>
        <v>Probabilidad</v>
      </c>
      <c r="W75" s="154" t="s">
        <v>14</v>
      </c>
      <c r="X75" s="154" t="s">
        <v>8</v>
      </c>
      <c r="Y75" s="155" t="str">
        <f t="shared" si="79"/>
        <v>30%</v>
      </c>
      <c r="Z75" s="154" t="s">
        <v>18</v>
      </c>
      <c r="AA75" s="154" t="s">
        <v>21</v>
      </c>
      <c r="AB75" s="154" t="s">
        <v>112</v>
      </c>
      <c r="AC75" s="156">
        <f t="shared" si="85"/>
        <v>7.2575999999999988E-2</v>
      </c>
      <c r="AD75" s="157" t="str">
        <f t="shared" si="80"/>
        <v>Muy Baja</v>
      </c>
      <c r="AE75" s="158">
        <f t="shared" si="81"/>
        <v>7.2575999999999988E-2</v>
      </c>
      <c r="AF75" s="157" t="str">
        <f t="shared" si="82"/>
        <v>Catastrófico</v>
      </c>
      <c r="AG75" s="158">
        <f t="shared" si="86"/>
        <v>1</v>
      </c>
      <c r="AH75" s="159" t="str">
        <f t="shared" ref="AH75" si="87">IFERROR(IF(OR(AND(AD75="Muy Baja",AF75="Leve"),AND(AD75="Muy Baja",AF75="Menor"),AND(AD75="Baja",AF75="Leve")),"Bajo",IF(OR(AND(AD75="Muy baja",AF75="Moderado"),AND(AD75="Baja",AF75="Menor"),AND(AD75="Baja",AF75="Moderado"),AND(AD75="Media",AF75="Leve"),AND(AD75="Media",AF75="Menor"),AND(AD75="Media",AF75="Moderado"),AND(AD75="Alta",AF75="Leve"),AND(AD75="Alta",AF75="Menor")),"Moderado",IF(OR(AND(AD75="Muy Baja",AF75="Mayor"),AND(AD75="Baja",AF75="Mayor"),AND(AD75="Media",AF75="Mayor"),AND(AD75="Alta",AF75="Moderado"),AND(AD75="Alta",AF75="Mayor"),AND(AD75="Muy Alta",AF75="Leve"),AND(AD75="Muy Alta",AF75="Menor"),AND(AD75="Muy Alta",AF75="Moderado"),AND(AD75="Muy Alta",AF75="Mayor")),"Alto",IF(OR(AND(AD75="Muy Baja",AF75="Catastrófico"),AND(AD75="Baja",AF75="Catastrófico"),AND(AD75="Media",AF75="Catastrófico"),AND(AD75="Alta",AF75="Catastrófico"),AND(AD75="Muy Alta",AF75="Catastrófico")),"Extremo","")))),"")</f>
        <v>Extremo</v>
      </c>
      <c r="AI75" s="161" t="s">
        <v>117</v>
      </c>
      <c r="AJ75" s="197"/>
      <c r="AK75" s="185"/>
      <c r="AL75" s="187"/>
      <c r="AM75" s="195"/>
      <c r="AN75" s="183"/>
      <c r="AO75" s="192"/>
      <c r="AP75" s="197"/>
    </row>
    <row r="76" spans="1:73" ht="199.5" x14ac:dyDescent="0.2">
      <c r="A76" s="214">
        <v>12</v>
      </c>
      <c r="B76" s="243" t="s">
        <v>248</v>
      </c>
      <c r="C76" s="243" t="s">
        <v>398</v>
      </c>
      <c r="D76" s="184" t="s">
        <v>268</v>
      </c>
      <c r="E76" s="180" t="s">
        <v>399</v>
      </c>
      <c r="F76" s="180" t="s">
        <v>400</v>
      </c>
      <c r="G76" s="180" t="s">
        <v>401</v>
      </c>
      <c r="H76" s="196" t="s">
        <v>402</v>
      </c>
      <c r="I76" s="246" t="s">
        <v>403</v>
      </c>
      <c r="J76" s="218" t="s">
        <v>230</v>
      </c>
      <c r="K76" s="184" t="s">
        <v>227</v>
      </c>
      <c r="L76" s="186">
        <v>43200</v>
      </c>
      <c r="M76" s="205" t="str">
        <f t="shared" ref="M76" si="88">IF(L76&lt;=0,"",IF(L76&lt;=2,"Muy Baja",IF(L76&lt;=24,"Baja",IF(L76&lt;=500,"Media",IF(L76&lt;=5000,"Alta","Muy Alta")))))</f>
        <v>Muy Alta</v>
      </c>
      <c r="N76" s="206">
        <f t="shared" ref="N76" si="89">IF(M76="","",IF(M76="Muy Baja",0.2,IF(M76="Baja",0.4,IF(M76="Media",0.6,IF(M76="Alta",0.8,IF(M76="Muy Alta",1,))))))</f>
        <v>1</v>
      </c>
      <c r="O76" s="211" t="s">
        <v>136</v>
      </c>
      <c r="P76" s="239" t="str">
        <f>IF(NOT(ISERROR(MATCH(O76,'Tabla Impacto'!$B$221:$B$223,0))),'Tabla Impacto'!$F$223&amp;"Por favor no seleccionar los criterios de impacto(Afectación Económica o presupuestal y Pérdida Reputacional)",O76)</f>
        <v xml:space="preserve">     El riesgo afecta la imagen de la entidad a nivel nacional, con efecto publicitarios sostenible a nivel país</v>
      </c>
      <c r="Q76" s="205" t="str">
        <f>IF(OR(P76='Tabla Impacto'!$C$11,P76='Tabla Impacto'!$D$11),"Leve",IF(OR(P76='Tabla Impacto'!$C$12,P76='Tabla Impacto'!$D$12),"Menor",IF(OR(P76='Tabla Impacto'!$C$13,P76='Tabla Impacto'!$D$13),"Moderado",IF(OR(P76='Tabla Impacto'!$C$14,P76='Tabla Impacto'!$D$14),"Mayor",IF(OR(P76='Tabla Impacto'!$C$15,P76='Tabla Impacto'!$D$15),"Catastrófico","")))))</f>
        <v>Catastrófico</v>
      </c>
      <c r="R76" s="206">
        <f t="shared" ref="R76" si="90">IF(Q76="","",IF(Q76="Leve",0.2,IF(Q76="Menor",0.4,IF(Q76="Moderado",0.6,IF(Q76="Mayor",0.8,IF(Q76="Catastrófico",1,))))))</f>
        <v>1</v>
      </c>
      <c r="S76" s="207" t="str">
        <f t="shared" ref="S76" si="91">IF(OR(AND(M76="Muy Baja",Q76="Leve"),AND(M76="Muy Baja",Q76="Menor"),AND(M76="Baja",Q76="Leve")),"Bajo",IF(OR(AND(M76="Muy baja",Q76="Moderado"),AND(M76="Baja",Q76="Menor"),AND(M76="Baja",Q76="Moderado"),AND(M76="Media",Q76="Leve"),AND(M76="Media",Q76="Menor"),AND(M76="Media",Q76="Moderado"),AND(M76="Alta",Q76="Leve"),AND(M76="Alta",Q76="Menor")),"Moderado",IF(OR(AND(M76="Muy Baja",Q76="Mayor"),AND(M76="Baja",Q76="Mayor"),AND(M76="Media",Q76="Mayor"),AND(M76="Alta",Q76="Moderado"),AND(M76="Alta",Q76="Mayor"),AND(M76="Muy Alta",Q76="Leve"),AND(M76="Muy Alta",Q76="Menor"),AND(M76="Muy Alta",Q76="Moderado"),AND(M76="Muy Alta",Q76="Mayor")),"Alto",IF(OR(AND(M76="Muy Baja",Q76="Catastrófico"),AND(M76="Baja",Q76="Catastrófico"),AND(M76="Media",Q76="Catastrófico"),AND(M76="Alta",Q76="Catastrófico"),AND(M76="Muy Alta",Q76="Catastrófico")),"Extremo",""))))</f>
        <v>Extremo</v>
      </c>
      <c r="T76" s="152">
        <v>1</v>
      </c>
      <c r="U76" s="173" t="s">
        <v>404</v>
      </c>
      <c r="V76" s="153" t="str">
        <f>IF(OR(W76="Preventivo",W76="Detectivo"),"Probabilidad",IF(W76="Correctivo","Impacto",""))</f>
        <v>Probabilidad</v>
      </c>
      <c r="W76" s="145" t="s">
        <v>13</v>
      </c>
      <c r="X76" s="145" t="s">
        <v>9</v>
      </c>
      <c r="Y76" s="155" t="str">
        <f>IF(AND(W76="Preventivo",X76="Automático"),"50%",IF(AND(W76="Preventivo",X76="Manual"),"40%",IF(AND(W76="Detectivo",X76="Automático"),"40%",IF(AND(W76="Detectivo",X76="Manual"),"30%",IF(AND(W76="Correctivo",X76="Automático"),"35%",IF(AND(W76="Correctivo",X76="Manual"),"25%",""))))))</f>
        <v>50%</v>
      </c>
      <c r="Z76" s="145" t="s">
        <v>18</v>
      </c>
      <c r="AA76" s="145" t="s">
        <v>21</v>
      </c>
      <c r="AB76" s="145" t="s">
        <v>112</v>
      </c>
      <c r="AC76" s="156">
        <f>IFERROR(IF(V76="Probabilidad",(N76-(+N76*Y76)),IF(V76="Impacto",N76,"")),"")</f>
        <v>0.5</v>
      </c>
      <c r="AD76" s="157" t="str">
        <f>IFERROR(IF(AC76="","",IF(AC76&lt;=0.2,"Muy Baja",IF(AC76&lt;=0.4,"Baja",IF(AC76&lt;=0.6,"Media",IF(AC76&lt;=0.8,"Alta","Muy Alta"))))),"")</f>
        <v>Media</v>
      </c>
      <c r="AE76" s="158">
        <f>+AC76</f>
        <v>0.5</v>
      </c>
      <c r="AF76" s="157" t="str">
        <f>IFERROR(IF(AG76="","",IF(AG76&lt;=0.2,"Leve",IF(AG76&lt;=0.4,"Menor",IF(AG76&lt;=0.6,"Moderado",IF(AG76&lt;=0.8,"Mayor","Catastrófico"))))),"")</f>
        <v>Catastrófico</v>
      </c>
      <c r="AG76" s="158">
        <f>IFERROR(IF(V76="Impacto",(R76-(+R76*Y76)),IF(V76="Probabilidad",R76,"")),"")</f>
        <v>1</v>
      </c>
      <c r="AH76" s="159" t="str">
        <f>IFERROR(IF(OR(AND(AD76="Muy Baja",AF76="Leve"),AND(AD76="Muy Baja",AF76="Menor"),AND(AD76="Baja",AF76="Leve")),"Bajo",IF(OR(AND(AD76="Muy baja",AF76="Moderado"),AND(AD76="Baja",AF76="Menor"),AND(AD76="Baja",AF76="Moderado"),AND(AD76="Media",AF76="Leve"),AND(AD76="Media",AF76="Menor"),AND(AD76="Media",AF76="Moderado"),AND(AD76="Alta",AF76="Leve"),AND(AD76="Alta",AF76="Menor")),"Moderado",IF(OR(AND(AD76="Muy Baja",AF76="Mayor"),AND(AD76="Baja",AF76="Mayor"),AND(AD76="Media",AF76="Mayor"),AND(AD76="Alta",AF76="Moderado"),AND(AD76="Alta",AF76="Mayor"),AND(AD76="Muy Alta",AF76="Leve"),AND(AD76="Muy Alta",AF76="Menor"),AND(AD76="Muy Alta",AF76="Moderado"),AND(AD76="Muy Alta",AF76="Mayor")),"Alto",IF(OR(AND(AD76="Muy Baja",AF76="Catastrófico"),AND(AD76="Baja",AF76="Catastrófico"),AND(AD76="Media",AF76="Catastrófico"),AND(AD76="Alta",AF76="Catastrófico"),AND(AD76="Muy Alta",AF76="Catastrófico")),"Extremo","")))),"")</f>
        <v>Extremo</v>
      </c>
      <c r="AI76" s="151" t="s">
        <v>117</v>
      </c>
      <c r="AJ76" s="196" t="s">
        <v>408</v>
      </c>
      <c r="AK76" s="186" t="s">
        <v>184</v>
      </c>
      <c r="AL76" s="188">
        <v>45293</v>
      </c>
      <c r="AM76" s="194">
        <v>45657</v>
      </c>
      <c r="AN76" s="184" t="s">
        <v>284</v>
      </c>
      <c r="AO76" s="190" t="s">
        <v>269</v>
      </c>
      <c r="AP76" s="196" t="s">
        <v>409</v>
      </c>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row>
    <row r="77" spans="1:73" ht="149.25" customHeight="1" x14ac:dyDescent="0.2">
      <c r="A77" s="214"/>
      <c r="B77" s="241"/>
      <c r="C77" s="241"/>
      <c r="D77" s="183"/>
      <c r="E77" s="181"/>
      <c r="F77" s="181"/>
      <c r="G77" s="181"/>
      <c r="H77" s="197"/>
      <c r="I77" s="242"/>
      <c r="J77" s="217"/>
      <c r="K77" s="183"/>
      <c r="L77" s="185"/>
      <c r="M77" s="205"/>
      <c r="N77" s="206"/>
      <c r="O77" s="203"/>
      <c r="P77" s="239">
        <f>IF(NOT(ISERROR(MATCH(O77,_xlfn.ANCHORARRAY(#REF!),0))),#REF!&amp;"Por favor no seleccionar los criterios de impacto",O77)</f>
        <v>0</v>
      </c>
      <c r="Q77" s="205"/>
      <c r="R77" s="206"/>
      <c r="S77" s="207"/>
      <c r="T77" s="152">
        <v>2</v>
      </c>
      <c r="U77" s="166" t="s">
        <v>405</v>
      </c>
      <c r="V77" s="153" t="str">
        <f>IF(OR(W77="Preventivo",W77="Detectivo"),"Probabilidad",IF(W77="Correctivo","Impacto",""))</f>
        <v>Probabilidad</v>
      </c>
      <c r="W77" s="154" t="s">
        <v>14</v>
      </c>
      <c r="X77" s="154" t="s">
        <v>9</v>
      </c>
      <c r="Y77" s="155" t="str">
        <f t="shared" ref="Y77:Y81" si="92">IF(AND(W77="Preventivo",X77="Automático"),"50%",IF(AND(W77="Preventivo",X77="Manual"),"40%",IF(AND(W77="Detectivo",X77="Automático"),"40%",IF(AND(W77="Detectivo",X77="Manual"),"30%",IF(AND(W77="Correctivo",X77="Automático"),"35%",IF(AND(W77="Correctivo",X77="Manual"),"25%",""))))))</f>
        <v>40%</v>
      </c>
      <c r="Z77" s="154" t="s">
        <v>18</v>
      </c>
      <c r="AA77" s="154" t="s">
        <v>21</v>
      </c>
      <c r="AB77" s="154" t="s">
        <v>112</v>
      </c>
      <c r="AC77" s="156">
        <f>IFERROR(IF(AND(V76="Probabilidad",V77="Probabilidad"),(AE76-(+AE76*Y77)),IF(V77="Probabilidad",(N76-(+N76*Y77)),IF(V77="Impacto",AE76,""))),"")</f>
        <v>0.3</v>
      </c>
      <c r="AD77" s="157" t="str">
        <f t="shared" ref="AD77:AD81" si="93">IFERROR(IF(AC77="","",IF(AC77&lt;=0.2,"Muy Baja",IF(AC77&lt;=0.4,"Baja",IF(AC77&lt;=0.6,"Media",IF(AC77&lt;=0.8,"Alta","Muy Alta"))))),"")</f>
        <v>Baja</v>
      </c>
      <c r="AE77" s="158">
        <f t="shared" ref="AE77:AE81" si="94">+AC77</f>
        <v>0.3</v>
      </c>
      <c r="AF77" s="157" t="str">
        <f t="shared" ref="AF77:AF81" si="95">IFERROR(IF(AG77="","",IF(AG77&lt;=0.2,"Leve",IF(AG77&lt;=0.4,"Menor",IF(AG77&lt;=0.6,"Moderado",IF(AG77&lt;=0.8,"Mayor","Catastrófico"))))),"")</f>
        <v>Catastrófico</v>
      </c>
      <c r="AG77" s="158">
        <f>IFERROR(IF(AND(V76="Impacto",V77="Impacto"),(AG76-(+AG76*Y77)),IF(V77="Impacto",(R76-(+R76*Y77)),IF(V77="Probabilidad",AG76,""))),"")</f>
        <v>1</v>
      </c>
      <c r="AH77" s="159" t="str">
        <f t="shared" ref="AH77:AH78" si="96">IFERROR(IF(OR(AND(AD77="Muy Baja",AF77="Leve"),AND(AD77="Muy Baja",AF77="Menor"),AND(AD77="Baja",AF77="Leve")),"Bajo",IF(OR(AND(AD77="Muy baja",AF77="Moderado"),AND(AD77="Baja",AF77="Menor"),AND(AD77="Baja",AF77="Moderado"),AND(AD77="Media",AF77="Leve"),AND(AD77="Media",AF77="Menor"),AND(AD77="Media",AF77="Moderado"),AND(AD77="Alta",AF77="Leve"),AND(AD77="Alta",AF77="Menor")),"Moderado",IF(OR(AND(AD77="Muy Baja",AF77="Mayor"),AND(AD77="Baja",AF77="Mayor"),AND(AD77="Media",AF77="Mayor"),AND(AD77="Alta",AF77="Moderado"),AND(AD77="Alta",AF77="Mayor"),AND(AD77="Muy Alta",AF77="Leve"),AND(AD77="Muy Alta",AF77="Menor"),AND(AD77="Muy Alta",AF77="Moderado"),AND(AD77="Muy Alta",AF77="Mayor")),"Alto",IF(OR(AND(AD77="Muy Baja",AF77="Catastrófico"),AND(AD77="Baja",AF77="Catastrófico"),AND(AD77="Media",AF77="Catastrófico"),AND(AD77="Alta",AF77="Catastrófico"),AND(AD77="Muy Alta",AF77="Catastrófico")),"Extremo","")))),"")</f>
        <v>Extremo</v>
      </c>
      <c r="AI77" s="151" t="s">
        <v>117</v>
      </c>
      <c r="AJ77" s="197"/>
      <c r="AK77" s="185"/>
      <c r="AL77" s="187"/>
      <c r="AM77" s="195"/>
      <c r="AN77" s="183"/>
      <c r="AO77" s="190"/>
      <c r="AP77" s="197"/>
    </row>
    <row r="78" spans="1:73" ht="185.25" x14ac:dyDescent="0.2">
      <c r="A78" s="214"/>
      <c r="B78" s="241"/>
      <c r="C78" s="241"/>
      <c r="D78" s="183"/>
      <c r="E78" s="181"/>
      <c r="F78" s="181"/>
      <c r="G78" s="181"/>
      <c r="H78" s="197"/>
      <c r="I78" s="242"/>
      <c r="J78" s="217"/>
      <c r="K78" s="183"/>
      <c r="L78" s="185"/>
      <c r="M78" s="205"/>
      <c r="N78" s="206"/>
      <c r="O78" s="203"/>
      <c r="P78" s="239">
        <f>IF(NOT(ISERROR(MATCH(O78,_xlfn.ANCHORARRAY(#REF!),0))),#REF!&amp;"Por favor no seleccionar los criterios de impacto",O78)</f>
        <v>0</v>
      </c>
      <c r="Q78" s="205"/>
      <c r="R78" s="206"/>
      <c r="S78" s="207"/>
      <c r="T78" s="152">
        <v>3</v>
      </c>
      <c r="U78" s="166" t="s">
        <v>406</v>
      </c>
      <c r="V78" s="153" t="str">
        <f>IF(OR(W78="Preventivo",W78="Detectivo"),"Probabilidad",IF(W78="Correctivo","Impacto",""))</f>
        <v>Probabilidad</v>
      </c>
      <c r="W78" s="154" t="s">
        <v>13</v>
      </c>
      <c r="X78" s="154" t="s">
        <v>8</v>
      </c>
      <c r="Y78" s="155" t="str">
        <f t="shared" si="92"/>
        <v>40%</v>
      </c>
      <c r="Z78" s="154" t="s">
        <v>18</v>
      </c>
      <c r="AA78" s="154" t="s">
        <v>21</v>
      </c>
      <c r="AB78" s="154" t="s">
        <v>112</v>
      </c>
      <c r="AC78" s="156">
        <f>IFERROR(IF(AND(V77="Probabilidad",V78="Probabilidad"),(AE77-(+AE77*Y78)),IF(AND(V77="Impacto",V78="Probabilidad"),(AE76-(+AE76*Y78)),IF(V78="Impacto",AE77,""))),"")</f>
        <v>0.18</v>
      </c>
      <c r="AD78" s="157" t="str">
        <f t="shared" si="93"/>
        <v>Muy Baja</v>
      </c>
      <c r="AE78" s="158">
        <f t="shared" si="94"/>
        <v>0.18</v>
      </c>
      <c r="AF78" s="157" t="str">
        <f t="shared" si="95"/>
        <v>Catastrófico</v>
      </c>
      <c r="AG78" s="158">
        <f>IFERROR(IF(AND(V77="Impacto",V78="Impacto"),(AG77-(+AG77*Y78)),IF(AND(V77="Probabilidad",V78="Impacto"),(AG76-(+AG76*Y78)),IF(V78="Probabilidad",AG77,""))),"")</f>
        <v>1</v>
      </c>
      <c r="AH78" s="159" t="str">
        <f t="shared" si="96"/>
        <v>Extremo</v>
      </c>
      <c r="AI78" s="151" t="s">
        <v>117</v>
      </c>
      <c r="AJ78" s="197"/>
      <c r="AK78" s="185"/>
      <c r="AL78" s="187"/>
      <c r="AM78" s="195"/>
      <c r="AN78" s="183"/>
      <c r="AO78" s="190"/>
      <c r="AP78" s="197"/>
    </row>
    <row r="79" spans="1:73" ht="219.75" customHeight="1" x14ac:dyDescent="0.2">
      <c r="A79" s="214"/>
      <c r="B79" s="241"/>
      <c r="C79" s="241"/>
      <c r="D79" s="183"/>
      <c r="E79" s="181"/>
      <c r="F79" s="181"/>
      <c r="G79" s="181"/>
      <c r="H79" s="197"/>
      <c r="I79" s="242"/>
      <c r="J79" s="217"/>
      <c r="K79" s="183"/>
      <c r="L79" s="185"/>
      <c r="M79" s="205"/>
      <c r="N79" s="206"/>
      <c r="O79" s="203"/>
      <c r="P79" s="239">
        <f>IF(NOT(ISERROR(MATCH(O79,_xlfn.ANCHORARRAY(#REF!),0))),#REF!&amp;"Por favor no seleccionar los criterios de impacto",O79)</f>
        <v>0</v>
      </c>
      <c r="Q79" s="205"/>
      <c r="R79" s="206"/>
      <c r="S79" s="207"/>
      <c r="T79" s="152">
        <v>4</v>
      </c>
      <c r="U79" s="160" t="s">
        <v>407</v>
      </c>
      <c r="V79" s="153" t="str">
        <f t="shared" ref="V79:V81" si="97">IF(OR(W79="Preventivo",W79="Detectivo"),"Probabilidad",IF(W79="Correctivo","Impacto",""))</f>
        <v>Probabilidad</v>
      </c>
      <c r="W79" s="154" t="s">
        <v>14</v>
      </c>
      <c r="X79" s="154" t="s">
        <v>8</v>
      </c>
      <c r="Y79" s="155" t="str">
        <f t="shared" si="92"/>
        <v>30%</v>
      </c>
      <c r="Z79" s="154" t="s">
        <v>18</v>
      </c>
      <c r="AA79" s="154" t="s">
        <v>21</v>
      </c>
      <c r="AB79" s="154" t="s">
        <v>112</v>
      </c>
      <c r="AC79" s="156">
        <f t="shared" ref="AC79:AC81" si="98">IFERROR(IF(AND(V78="Probabilidad",V79="Probabilidad"),(AE78-(+AE78*Y79)),IF(AND(V78="Impacto",V79="Probabilidad"),(AE77-(+AE77*Y79)),IF(V79="Impacto",AE78,""))),"")</f>
        <v>0.126</v>
      </c>
      <c r="AD79" s="157" t="str">
        <f t="shared" si="93"/>
        <v>Muy Baja</v>
      </c>
      <c r="AE79" s="158">
        <f t="shared" si="94"/>
        <v>0.126</v>
      </c>
      <c r="AF79" s="157" t="str">
        <f t="shared" si="95"/>
        <v>Catastrófico</v>
      </c>
      <c r="AG79" s="158">
        <f t="shared" ref="AG79:AG81" si="99">IFERROR(IF(AND(V78="Impacto",V79="Impacto"),(AG78-(+AG78*Y79)),IF(AND(V78="Probabilidad",V79="Impacto"),(AG77-(+AG77*Y79)),IF(V79="Probabilidad",AG78,""))),"")</f>
        <v>1</v>
      </c>
      <c r="AH79" s="159" t="str">
        <f>IFERROR(IF(OR(AND(AD79="Muy Baja",AF79="Leve"),AND(AD79="Muy Baja",AF79="Menor"),AND(AD79="Baja",AF79="Leve")),"Bajo",IF(OR(AND(AD79="Muy baja",AF79="Moderado"),AND(AD79="Baja",AF79="Menor"),AND(AD79="Baja",AF79="Moderado"),AND(AD79="Media",AF79="Leve"),AND(AD79="Media",AF79="Menor"),AND(AD79="Media",AF79="Moderado"),AND(AD79="Alta",AF79="Leve"),AND(AD79="Alta",AF79="Menor")),"Moderado",IF(OR(AND(AD79="Muy Baja",AF79="Mayor"),AND(AD79="Baja",AF79="Mayor"),AND(AD79="Media",AF79="Mayor"),AND(AD79="Alta",AF79="Moderado"),AND(AD79="Alta",AF79="Mayor"),AND(AD79="Muy Alta",AF79="Leve"),AND(AD79="Muy Alta",AF79="Menor"),AND(AD79="Muy Alta",AF79="Moderado"),AND(AD79="Muy Alta",AF79="Mayor")),"Alto",IF(OR(AND(AD79="Muy Baja",AF79="Catastrófico"),AND(AD79="Baja",AF79="Catastrófico"),AND(AD79="Media",AF79="Catastrófico"),AND(AD79="Alta",AF79="Catastrófico"),AND(AD79="Muy Alta",AF79="Catastrófico")),"Extremo","")))),"")</f>
        <v>Extremo</v>
      </c>
      <c r="AI79" s="151" t="s">
        <v>117</v>
      </c>
      <c r="AJ79" s="197"/>
      <c r="AK79" s="185"/>
      <c r="AL79" s="187"/>
      <c r="AM79" s="195"/>
      <c r="AN79" s="183"/>
      <c r="AO79" s="190"/>
      <c r="AP79" s="197"/>
    </row>
    <row r="80" spans="1:73" ht="15" customHeight="1" x14ac:dyDescent="0.2">
      <c r="A80" s="214"/>
      <c r="B80" s="241"/>
      <c r="C80" s="241"/>
      <c r="D80" s="183"/>
      <c r="E80" s="181"/>
      <c r="F80" s="181"/>
      <c r="G80" s="181"/>
      <c r="H80" s="197"/>
      <c r="I80" s="242"/>
      <c r="J80" s="217"/>
      <c r="K80" s="183"/>
      <c r="L80" s="185"/>
      <c r="M80" s="205"/>
      <c r="N80" s="206"/>
      <c r="O80" s="203"/>
      <c r="P80" s="239">
        <f>IF(NOT(ISERROR(MATCH(O80,_xlfn.ANCHORARRAY(#REF!),0))),N83&amp;"Por favor no seleccionar los criterios de impacto",O80)</f>
        <v>0</v>
      </c>
      <c r="Q80" s="205"/>
      <c r="R80" s="206"/>
      <c r="S80" s="207"/>
      <c r="T80" s="152">
        <v>5</v>
      </c>
      <c r="U80" s="160"/>
      <c r="V80" s="153" t="str">
        <f t="shared" si="97"/>
        <v/>
      </c>
      <c r="W80" s="154"/>
      <c r="X80" s="154"/>
      <c r="Y80" s="155" t="str">
        <f t="shared" si="92"/>
        <v/>
      </c>
      <c r="Z80" s="154"/>
      <c r="AA80" s="154"/>
      <c r="AB80" s="154"/>
      <c r="AC80" s="156" t="str">
        <f t="shared" si="98"/>
        <v/>
      </c>
      <c r="AD80" s="157" t="str">
        <f t="shared" si="93"/>
        <v/>
      </c>
      <c r="AE80" s="158" t="str">
        <f t="shared" si="94"/>
        <v/>
      </c>
      <c r="AF80" s="157" t="str">
        <f t="shared" si="95"/>
        <v/>
      </c>
      <c r="AG80" s="158" t="str">
        <f t="shared" si="99"/>
        <v/>
      </c>
      <c r="AH80" s="159" t="str">
        <f t="shared" ref="AH80:AH81" si="100">IFERROR(IF(OR(AND(AD80="Muy Baja",AF80="Leve"),AND(AD80="Muy Baja",AF80="Menor"),AND(AD80="Baja",AF80="Leve")),"Bajo",IF(OR(AND(AD80="Muy baja",AF80="Moderado"),AND(AD80="Baja",AF80="Menor"),AND(AD80="Baja",AF80="Moderado"),AND(AD80="Media",AF80="Leve"),AND(AD80="Media",AF80="Menor"),AND(AD80="Media",AF80="Moderado"),AND(AD80="Alta",AF80="Leve"),AND(AD80="Alta",AF80="Menor")),"Moderado",IF(OR(AND(AD80="Muy Baja",AF80="Mayor"),AND(AD80="Baja",AF80="Mayor"),AND(AD80="Media",AF80="Mayor"),AND(AD80="Alta",AF80="Moderado"),AND(AD80="Alta",AF80="Mayor"),AND(AD80="Muy Alta",AF80="Leve"),AND(AD80="Muy Alta",AF80="Menor"),AND(AD80="Muy Alta",AF80="Moderado"),AND(AD80="Muy Alta",AF80="Mayor")),"Alto",IF(OR(AND(AD80="Muy Baja",AF80="Catastrófico"),AND(AD80="Baja",AF80="Catastrófico"),AND(AD80="Media",AF80="Catastrófico"),AND(AD80="Alta",AF80="Catastrófico"),AND(AD80="Muy Alta",AF80="Catastrófico")),"Extremo","")))),"")</f>
        <v/>
      </c>
      <c r="AI80" s="161"/>
      <c r="AJ80" s="197"/>
      <c r="AK80" s="185"/>
      <c r="AL80" s="187"/>
      <c r="AM80" s="195"/>
      <c r="AN80" s="183"/>
      <c r="AO80" s="190"/>
      <c r="AP80" s="197"/>
    </row>
    <row r="81" spans="1:73" ht="15" customHeight="1" thickBot="1" x14ac:dyDescent="0.25">
      <c r="A81" s="214"/>
      <c r="B81" s="241"/>
      <c r="C81" s="241"/>
      <c r="D81" s="183"/>
      <c r="E81" s="181"/>
      <c r="F81" s="181"/>
      <c r="G81" s="181"/>
      <c r="H81" s="197"/>
      <c r="I81" s="242"/>
      <c r="J81" s="217"/>
      <c r="K81" s="183"/>
      <c r="L81" s="185"/>
      <c r="M81" s="205"/>
      <c r="N81" s="206"/>
      <c r="O81" s="203"/>
      <c r="P81" s="239">
        <f>IF(NOT(ISERROR(MATCH(O81,_xlfn.ANCHORARRAY(#REF!),0))),N84&amp;"Por favor no seleccionar los criterios de impacto",O81)</f>
        <v>0</v>
      </c>
      <c r="Q81" s="205"/>
      <c r="R81" s="206"/>
      <c r="S81" s="207"/>
      <c r="T81" s="152">
        <v>6</v>
      </c>
      <c r="U81" s="160"/>
      <c r="V81" s="153" t="str">
        <f t="shared" si="97"/>
        <v/>
      </c>
      <c r="W81" s="154"/>
      <c r="X81" s="154"/>
      <c r="Y81" s="155" t="str">
        <f t="shared" si="92"/>
        <v/>
      </c>
      <c r="Z81" s="154"/>
      <c r="AA81" s="154"/>
      <c r="AB81" s="154"/>
      <c r="AC81" s="156" t="str">
        <f t="shared" si="98"/>
        <v/>
      </c>
      <c r="AD81" s="157" t="str">
        <f t="shared" si="93"/>
        <v/>
      </c>
      <c r="AE81" s="158" t="str">
        <f t="shared" si="94"/>
        <v/>
      </c>
      <c r="AF81" s="157" t="str">
        <f t="shared" si="95"/>
        <v/>
      </c>
      <c r="AG81" s="158" t="str">
        <f t="shared" si="99"/>
        <v/>
      </c>
      <c r="AH81" s="159" t="str">
        <f t="shared" si="100"/>
        <v/>
      </c>
      <c r="AI81" s="161"/>
      <c r="AJ81" s="197"/>
      <c r="AK81" s="185"/>
      <c r="AL81" s="187"/>
      <c r="AM81" s="195"/>
      <c r="AN81" s="183"/>
      <c r="AO81" s="191"/>
      <c r="AP81" s="197"/>
    </row>
    <row r="82" spans="1:73" ht="149.25" customHeight="1" thickTop="1" x14ac:dyDescent="0.2">
      <c r="A82" s="214">
        <v>13</v>
      </c>
      <c r="B82" s="243" t="s">
        <v>248</v>
      </c>
      <c r="C82" s="244" t="s">
        <v>410</v>
      </c>
      <c r="D82" s="184" t="s">
        <v>268</v>
      </c>
      <c r="E82" s="180" t="s">
        <v>411</v>
      </c>
      <c r="F82" s="180" t="s">
        <v>412</v>
      </c>
      <c r="G82" s="180" t="s">
        <v>413</v>
      </c>
      <c r="H82" s="196" t="s">
        <v>414</v>
      </c>
      <c r="I82" s="246" t="s">
        <v>415</v>
      </c>
      <c r="J82" s="218" t="s">
        <v>230</v>
      </c>
      <c r="K82" s="184" t="s">
        <v>227</v>
      </c>
      <c r="L82" s="186">
        <v>640000</v>
      </c>
      <c r="M82" s="205" t="str">
        <f t="shared" ref="M82" si="101">IF(L82&lt;=0,"",IF(L82&lt;=2,"Muy Baja",IF(L82&lt;=24,"Baja",IF(L82&lt;=500,"Media",IF(L82&lt;=5000,"Alta","Muy Alta")))))</f>
        <v>Muy Alta</v>
      </c>
      <c r="N82" s="206">
        <f t="shared" ref="N82" si="102">IF(M82="","",IF(M82="Muy Baja",0.2,IF(M82="Baja",0.4,IF(M82="Media",0.6,IF(M82="Alta",0.8,IF(M82="Muy Alta",1,))))))</f>
        <v>1</v>
      </c>
      <c r="O82" s="211" t="s">
        <v>131</v>
      </c>
      <c r="P82" s="239" t="str">
        <f>IF(NOT(ISERROR(MATCH(O82,'Tabla Impacto'!$B$221:$B$223,0))),'Tabla Impacto'!$F$223&amp;"Por favor no seleccionar los criterios de impacto(Afectación Económica o presupuestal y Pérdida Reputacional)",O82)</f>
        <v xml:space="preserve">     Mayor a 500 SMLMV </v>
      </c>
      <c r="Q82" s="205" t="str">
        <f>IF(OR(P82='Tabla Impacto'!$C$11,P82='Tabla Impacto'!$D$11),"Leve",IF(OR(P82='Tabla Impacto'!$C$12,P82='Tabla Impacto'!$D$12),"Menor",IF(OR(P82='Tabla Impacto'!$C$13,P82='Tabla Impacto'!$D$13),"Moderado",IF(OR(P82='Tabla Impacto'!$C$14,P82='Tabla Impacto'!$D$14),"Mayor",IF(OR(P82='Tabla Impacto'!$C$15,P82='Tabla Impacto'!$D$15),"Catastrófico","")))))</f>
        <v>Catastrófico</v>
      </c>
      <c r="R82" s="206">
        <f t="shared" ref="R82" si="103">IF(Q82="","",IF(Q82="Leve",0.2,IF(Q82="Menor",0.4,IF(Q82="Moderado",0.6,IF(Q82="Mayor",0.8,IF(Q82="Catastrófico",1,))))))</f>
        <v>1</v>
      </c>
      <c r="S82" s="207" t="str">
        <f t="shared" ref="S82" si="104">IF(OR(AND(M82="Muy Baja",Q82="Leve"),AND(M82="Muy Baja",Q82="Menor"),AND(M82="Baja",Q82="Leve")),"Bajo",IF(OR(AND(M82="Muy baja",Q82="Moderado"),AND(M82="Baja",Q82="Menor"),AND(M82="Baja",Q82="Moderado"),AND(M82="Media",Q82="Leve"),AND(M82="Media",Q82="Menor"),AND(M82="Media",Q82="Moderado"),AND(M82="Alta",Q82="Leve"),AND(M82="Alta",Q82="Menor")),"Moderado",IF(OR(AND(M82="Muy Baja",Q82="Mayor"),AND(M82="Baja",Q82="Mayor"),AND(M82="Media",Q82="Mayor"),AND(M82="Alta",Q82="Moderado"),AND(M82="Alta",Q82="Mayor"),AND(M82="Muy Alta",Q82="Leve"),AND(M82="Muy Alta",Q82="Menor"),AND(M82="Muy Alta",Q82="Moderado"),AND(M82="Muy Alta",Q82="Mayor")),"Alto",IF(OR(AND(M82="Muy Baja",Q82="Catastrófico"),AND(M82="Baja",Q82="Catastrófico"),AND(M82="Media",Q82="Catastrófico"),AND(M82="Alta",Q82="Catastrófico"),AND(M82="Muy Alta",Q82="Catastrófico")),"Extremo",""))))</f>
        <v>Extremo</v>
      </c>
      <c r="T82" s="152">
        <v>1</v>
      </c>
      <c r="U82" s="173" t="s">
        <v>416</v>
      </c>
      <c r="V82" s="153" t="str">
        <f>IF(OR(W82="Preventivo",W82="Detectivo"),"Probabilidad",IF(W82="Correctivo","Impacto",""))</f>
        <v>Probabilidad</v>
      </c>
      <c r="W82" s="145" t="s">
        <v>13</v>
      </c>
      <c r="X82" s="145" t="s">
        <v>8</v>
      </c>
      <c r="Y82" s="155" t="str">
        <f>IF(AND(W82="Preventivo",X82="Automático"),"50%",IF(AND(W82="Preventivo",X82="Manual"),"40%",IF(AND(W82="Detectivo",X82="Automático"),"40%",IF(AND(W82="Detectivo",X82="Manual"),"30%",IF(AND(W82="Correctivo",X82="Automático"),"35%",IF(AND(W82="Correctivo",X82="Manual"),"25%",""))))))</f>
        <v>40%</v>
      </c>
      <c r="Z82" s="145" t="s">
        <v>18</v>
      </c>
      <c r="AA82" s="145" t="s">
        <v>21</v>
      </c>
      <c r="AB82" s="145" t="s">
        <v>112</v>
      </c>
      <c r="AC82" s="156">
        <f>IFERROR(IF(V82="Probabilidad",(N82-(+N82*Y82)),IF(V82="Impacto",N82,"")),"")</f>
        <v>0.6</v>
      </c>
      <c r="AD82" s="157" t="str">
        <f>IFERROR(IF(AC82="","",IF(AC82&lt;=0.2,"Muy Baja",IF(AC82&lt;=0.4,"Baja",IF(AC82&lt;=0.6,"Media",IF(AC82&lt;=0.8,"Alta","Muy Alta"))))),"")</f>
        <v>Media</v>
      </c>
      <c r="AE82" s="158">
        <f>+AC82</f>
        <v>0.6</v>
      </c>
      <c r="AF82" s="157" t="str">
        <f>IFERROR(IF(AG82="","",IF(AG82&lt;=0.2,"Leve",IF(AG82&lt;=0.4,"Menor",IF(AG82&lt;=0.6,"Moderado",IF(AG82&lt;=0.8,"Mayor","Catastrófico"))))),"")</f>
        <v>Catastrófico</v>
      </c>
      <c r="AG82" s="158">
        <f>IFERROR(IF(V82="Impacto",(R82-(+R82*Y82)),IF(V82="Probabilidad",R82,"")),"")</f>
        <v>1</v>
      </c>
      <c r="AH82" s="159" t="str">
        <f>IFERROR(IF(OR(AND(AD82="Muy Baja",AF82="Leve"),AND(AD82="Muy Baja",AF82="Menor"),AND(AD82="Baja",AF82="Leve")),"Bajo",IF(OR(AND(AD82="Muy baja",AF82="Moderado"),AND(AD82="Baja",AF82="Menor"),AND(AD82="Baja",AF82="Moderado"),AND(AD82="Media",AF82="Leve"),AND(AD82="Media",AF82="Menor"),AND(AD82="Media",AF82="Moderado"),AND(AD82="Alta",AF82="Leve"),AND(AD82="Alta",AF82="Menor")),"Moderado",IF(OR(AND(AD82="Muy Baja",AF82="Mayor"),AND(AD82="Baja",AF82="Mayor"),AND(AD82="Media",AF82="Mayor"),AND(AD82="Alta",AF82="Moderado"),AND(AD82="Alta",AF82="Mayor"),AND(AD82="Muy Alta",AF82="Leve"),AND(AD82="Muy Alta",AF82="Menor"),AND(AD82="Muy Alta",AF82="Moderado"),AND(AD82="Muy Alta",AF82="Mayor")),"Alto",IF(OR(AND(AD82="Muy Baja",AF82="Catastrófico"),AND(AD82="Baja",AF82="Catastrófico"),AND(AD82="Media",AF82="Catastrófico"),AND(AD82="Alta",AF82="Catastrófico"),AND(AD82="Muy Alta",AF82="Catastrófico")),"Extremo","")))),"")</f>
        <v>Extremo</v>
      </c>
      <c r="AI82" s="151" t="s">
        <v>117</v>
      </c>
      <c r="AJ82" s="180" t="s">
        <v>419</v>
      </c>
      <c r="AK82" s="247" t="s">
        <v>189</v>
      </c>
      <c r="AL82" s="188">
        <v>45293</v>
      </c>
      <c r="AM82" s="194">
        <v>45657</v>
      </c>
      <c r="AN82" s="184"/>
      <c r="AO82" s="186" t="s">
        <v>269</v>
      </c>
      <c r="AP82" s="180" t="s">
        <v>420</v>
      </c>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row>
    <row r="83" spans="1:73" ht="155.25" customHeight="1" x14ac:dyDescent="0.2">
      <c r="A83" s="214"/>
      <c r="B83" s="241"/>
      <c r="C83" s="245"/>
      <c r="D83" s="183"/>
      <c r="E83" s="181"/>
      <c r="F83" s="181"/>
      <c r="G83" s="181"/>
      <c r="H83" s="197"/>
      <c r="I83" s="242"/>
      <c r="J83" s="217"/>
      <c r="K83" s="183"/>
      <c r="L83" s="185"/>
      <c r="M83" s="205"/>
      <c r="N83" s="206"/>
      <c r="O83" s="203"/>
      <c r="P83" s="239">
        <f>IF(NOT(ISERROR(MATCH(O83,_xlfn.ANCHORARRAY(#REF!),0))),#REF!&amp;"Por favor no seleccionar los criterios de impacto",O83)</f>
        <v>0</v>
      </c>
      <c r="Q83" s="205"/>
      <c r="R83" s="206"/>
      <c r="S83" s="207"/>
      <c r="T83" s="152">
        <v>2</v>
      </c>
      <c r="U83" s="166" t="s">
        <v>417</v>
      </c>
      <c r="V83" s="153" t="str">
        <f>IF(OR(W83="Preventivo",W83="Detectivo"),"Probabilidad",IF(W83="Correctivo","Impacto",""))</f>
        <v>Probabilidad</v>
      </c>
      <c r="W83" s="154" t="s">
        <v>13</v>
      </c>
      <c r="X83" s="154" t="s">
        <v>8</v>
      </c>
      <c r="Y83" s="155" t="str">
        <f t="shared" ref="Y83:Y87" si="105">IF(AND(W83="Preventivo",X83="Automático"),"50%",IF(AND(W83="Preventivo",X83="Manual"),"40%",IF(AND(W83="Detectivo",X83="Automático"),"40%",IF(AND(W83="Detectivo",X83="Manual"),"30%",IF(AND(W83="Correctivo",X83="Automático"),"35%",IF(AND(W83="Correctivo",X83="Manual"),"25%",""))))))</f>
        <v>40%</v>
      </c>
      <c r="Z83" s="154" t="s">
        <v>18</v>
      </c>
      <c r="AA83" s="154" t="s">
        <v>21</v>
      </c>
      <c r="AB83" s="154" t="s">
        <v>112</v>
      </c>
      <c r="AC83" s="156">
        <f>IFERROR(IF(AND(V82="Probabilidad",V83="Probabilidad"),(AE82-(+AE82*Y83)),IF(V83="Probabilidad",(N82-(+N82*Y83)),IF(V83="Impacto",AE82,""))),"")</f>
        <v>0.36</v>
      </c>
      <c r="AD83" s="157" t="str">
        <f t="shared" ref="AD83:AD87" si="106">IFERROR(IF(AC83="","",IF(AC83&lt;=0.2,"Muy Baja",IF(AC83&lt;=0.4,"Baja",IF(AC83&lt;=0.6,"Media",IF(AC83&lt;=0.8,"Alta","Muy Alta"))))),"")</f>
        <v>Baja</v>
      </c>
      <c r="AE83" s="158">
        <f t="shared" ref="AE83:AE87" si="107">+AC83</f>
        <v>0.36</v>
      </c>
      <c r="AF83" s="157" t="str">
        <f t="shared" ref="AF83:AF87" si="108">IFERROR(IF(AG83="","",IF(AG83&lt;=0.2,"Leve",IF(AG83&lt;=0.4,"Menor",IF(AG83&lt;=0.6,"Moderado",IF(AG83&lt;=0.8,"Mayor","Catastrófico"))))),"")</f>
        <v>Catastrófico</v>
      </c>
      <c r="AG83" s="158">
        <f>IFERROR(IF(AND(V82="Impacto",V83="Impacto"),(AG82-(+AG82*Y83)),IF(V83="Impacto",(R82-(+R82*Y83)),IF(V83="Probabilidad",AG82,""))),"")</f>
        <v>1</v>
      </c>
      <c r="AH83" s="159" t="str">
        <f t="shared" ref="AH83:AH84" si="109">IFERROR(IF(OR(AND(AD83="Muy Baja",AF83="Leve"),AND(AD83="Muy Baja",AF83="Menor"),AND(AD83="Baja",AF83="Leve")),"Bajo",IF(OR(AND(AD83="Muy baja",AF83="Moderado"),AND(AD83="Baja",AF83="Menor"),AND(AD83="Baja",AF83="Moderado"),AND(AD83="Media",AF83="Leve"),AND(AD83="Media",AF83="Menor"),AND(AD83="Media",AF83="Moderado"),AND(AD83="Alta",AF83="Leve"),AND(AD83="Alta",AF83="Menor")),"Moderado",IF(OR(AND(AD83="Muy Baja",AF83="Mayor"),AND(AD83="Baja",AF83="Mayor"),AND(AD83="Media",AF83="Mayor"),AND(AD83="Alta",AF83="Moderado"),AND(AD83="Alta",AF83="Mayor"),AND(AD83="Muy Alta",AF83="Leve"),AND(AD83="Muy Alta",AF83="Menor"),AND(AD83="Muy Alta",AF83="Moderado"),AND(AD83="Muy Alta",AF83="Mayor")),"Alto",IF(OR(AND(AD83="Muy Baja",AF83="Catastrófico"),AND(AD83="Baja",AF83="Catastrófico"),AND(AD83="Media",AF83="Catastrófico"),AND(AD83="Alta",AF83="Catastrófico"),AND(AD83="Muy Alta",AF83="Catastrófico")),"Extremo","")))),"")</f>
        <v>Extremo</v>
      </c>
      <c r="AI83" s="161" t="s">
        <v>117</v>
      </c>
      <c r="AJ83" s="181"/>
      <c r="AK83" s="200"/>
      <c r="AL83" s="187"/>
      <c r="AM83" s="195"/>
      <c r="AN83" s="183"/>
      <c r="AO83" s="185"/>
      <c r="AP83" s="181"/>
    </row>
    <row r="84" spans="1:73" ht="142.5" x14ac:dyDescent="0.2">
      <c r="A84" s="214"/>
      <c r="B84" s="241"/>
      <c r="C84" s="245"/>
      <c r="D84" s="183"/>
      <c r="E84" s="181"/>
      <c r="F84" s="181"/>
      <c r="G84" s="181"/>
      <c r="H84" s="197"/>
      <c r="I84" s="242"/>
      <c r="J84" s="217"/>
      <c r="K84" s="183"/>
      <c r="L84" s="185"/>
      <c r="M84" s="205"/>
      <c r="N84" s="206"/>
      <c r="O84" s="203"/>
      <c r="P84" s="239">
        <f>IF(NOT(ISERROR(MATCH(O84,_xlfn.ANCHORARRAY(#REF!),0))),#REF!&amp;"Por favor no seleccionar los criterios de impacto",O84)</f>
        <v>0</v>
      </c>
      <c r="Q84" s="205"/>
      <c r="R84" s="206"/>
      <c r="S84" s="207"/>
      <c r="T84" s="152">
        <v>3</v>
      </c>
      <c r="U84" s="166" t="s">
        <v>418</v>
      </c>
      <c r="V84" s="153" t="str">
        <f>IF(OR(W84="Preventivo",W84="Detectivo"),"Probabilidad",IF(W84="Correctivo","Impacto",""))</f>
        <v>Impacto</v>
      </c>
      <c r="W84" s="154" t="s">
        <v>15</v>
      </c>
      <c r="X84" s="154" t="s">
        <v>8</v>
      </c>
      <c r="Y84" s="155" t="str">
        <f t="shared" si="105"/>
        <v>25%</v>
      </c>
      <c r="Z84" s="154" t="s">
        <v>18</v>
      </c>
      <c r="AA84" s="154" t="s">
        <v>21</v>
      </c>
      <c r="AB84" s="154" t="s">
        <v>112</v>
      </c>
      <c r="AC84" s="156">
        <f>IFERROR(IF(AND(V83="Probabilidad",V84="Probabilidad"),(AE83-(+AE83*Y84)),IF(AND(V83="Impacto",V84="Probabilidad"),(AE82-(+AE82*Y84)),IF(V84="Impacto",AE83,""))),"")</f>
        <v>0.36</v>
      </c>
      <c r="AD84" s="157" t="str">
        <f t="shared" si="106"/>
        <v>Baja</v>
      </c>
      <c r="AE84" s="158">
        <f t="shared" si="107"/>
        <v>0.36</v>
      </c>
      <c r="AF84" s="157" t="str">
        <f t="shared" si="108"/>
        <v>Mayor</v>
      </c>
      <c r="AG84" s="158">
        <f>IFERROR(IF(AND(V83="Impacto",V84="Impacto"),(AG83-(+AG83*Y84)),IF(AND(V83="Probabilidad",V84="Impacto"),(AG82-(+AG82*Y84)),IF(V84="Probabilidad",AG83,""))),"")</f>
        <v>0.75</v>
      </c>
      <c r="AH84" s="159" t="str">
        <f t="shared" si="109"/>
        <v>Alto</v>
      </c>
      <c r="AI84" s="161" t="s">
        <v>117</v>
      </c>
      <c r="AJ84" s="181"/>
      <c r="AK84" s="200"/>
      <c r="AL84" s="187"/>
      <c r="AM84" s="195"/>
      <c r="AN84" s="183"/>
      <c r="AO84" s="185"/>
      <c r="AP84" s="181"/>
    </row>
    <row r="85" spans="1:73" ht="15" customHeight="1" x14ac:dyDescent="0.2">
      <c r="A85" s="214"/>
      <c r="B85" s="241"/>
      <c r="C85" s="245"/>
      <c r="D85" s="183"/>
      <c r="E85" s="181"/>
      <c r="F85" s="181"/>
      <c r="G85" s="181"/>
      <c r="H85" s="197"/>
      <c r="I85" s="242"/>
      <c r="J85" s="217"/>
      <c r="K85" s="183"/>
      <c r="L85" s="185"/>
      <c r="M85" s="205"/>
      <c r="N85" s="206"/>
      <c r="O85" s="203"/>
      <c r="P85" s="239">
        <f>IF(NOT(ISERROR(MATCH(O85,_xlfn.ANCHORARRAY(#REF!),0))),#REF!&amp;"Por favor no seleccionar los criterios de impacto",O85)</f>
        <v>0</v>
      </c>
      <c r="Q85" s="205"/>
      <c r="R85" s="206"/>
      <c r="S85" s="207"/>
      <c r="T85" s="152">
        <v>4</v>
      </c>
      <c r="U85" s="160"/>
      <c r="V85" s="153" t="str">
        <f t="shared" ref="V85:V87" si="110">IF(OR(W85="Preventivo",W85="Detectivo"),"Probabilidad",IF(W85="Correctivo","Impacto",""))</f>
        <v/>
      </c>
      <c r="W85" s="154"/>
      <c r="X85" s="154"/>
      <c r="Y85" s="155" t="str">
        <f t="shared" si="105"/>
        <v/>
      </c>
      <c r="Z85" s="154"/>
      <c r="AA85" s="154"/>
      <c r="AB85" s="154"/>
      <c r="AC85" s="156" t="str">
        <f t="shared" ref="AC85:AC87" si="111">IFERROR(IF(AND(V84="Probabilidad",V85="Probabilidad"),(AE84-(+AE84*Y85)),IF(AND(V84="Impacto",V85="Probabilidad"),(AE83-(+AE83*Y85)),IF(V85="Impacto",AE84,""))),"")</f>
        <v/>
      </c>
      <c r="AD85" s="157" t="str">
        <f t="shared" si="106"/>
        <v/>
      </c>
      <c r="AE85" s="158" t="str">
        <f t="shared" si="107"/>
        <v/>
      </c>
      <c r="AF85" s="157" t="str">
        <f t="shared" si="108"/>
        <v/>
      </c>
      <c r="AG85" s="158" t="str">
        <f t="shared" ref="AG85:AG87" si="112">IFERROR(IF(AND(V84="Impacto",V85="Impacto"),(AG84-(+AG84*Y85)),IF(AND(V84="Probabilidad",V85="Impacto"),(AG83-(+AG83*Y85)),IF(V85="Probabilidad",AG84,""))),"")</f>
        <v/>
      </c>
      <c r="AH85" s="159" t="str">
        <f>IFERROR(IF(OR(AND(AD85="Muy Baja",AF85="Leve"),AND(AD85="Muy Baja",AF85="Menor"),AND(AD85="Baja",AF85="Leve")),"Bajo",IF(OR(AND(AD85="Muy baja",AF85="Moderado"),AND(AD85="Baja",AF85="Menor"),AND(AD85="Baja",AF85="Moderado"),AND(AD85="Media",AF85="Leve"),AND(AD85="Media",AF85="Menor"),AND(AD85="Media",AF85="Moderado"),AND(AD85="Alta",AF85="Leve"),AND(AD85="Alta",AF85="Menor")),"Moderado",IF(OR(AND(AD85="Muy Baja",AF85="Mayor"),AND(AD85="Baja",AF85="Mayor"),AND(AD85="Media",AF85="Mayor"),AND(AD85="Alta",AF85="Moderado"),AND(AD85="Alta",AF85="Mayor"),AND(AD85="Muy Alta",AF85="Leve"),AND(AD85="Muy Alta",AF85="Menor"),AND(AD85="Muy Alta",AF85="Moderado"),AND(AD85="Muy Alta",AF85="Mayor")),"Alto",IF(OR(AND(AD85="Muy Baja",AF85="Catastrófico"),AND(AD85="Baja",AF85="Catastrófico"),AND(AD85="Media",AF85="Catastrófico"),AND(AD85="Alta",AF85="Catastrófico"),AND(AD85="Muy Alta",AF85="Catastrófico")),"Extremo","")))),"")</f>
        <v/>
      </c>
      <c r="AI85" s="161"/>
      <c r="AJ85" s="181"/>
      <c r="AK85" s="200"/>
      <c r="AL85" s="187"/>
      <c r="AM85" s="195"/>
      <c r="AN85" s="183"/>
      <c r="AO85" s="185"/>
      <c r="AP85" s="181"/>
    </row>
    <row r="86" spans="1:73" ht="15" customHeight="1" x14ac:dyDescent="0.2">
      <c r="A86" s="214"/>
      <c r="B86" s="241"/>
      <c r="C86" s="245"/>
      <c r="D86" s="183"/>
      <c r="E86" s="181"/>
      <c r="F86" s="181"/>
      <c r="G86" s="181"/>
      <c r="H86" s="197"/>
      <c r="I86" s="242"/>
      <c r="J86" s="217"/>
      <c r="K86" s="183"/>
      <c r="L86" s="185"/>
      <c r="M86" s="205"/>
      <c r="N86" s="206"/>
      <c r="O86" s="203"/>
      <c r="P86" s="239">
        <f>IF(NOT(ISERROR(MATCH(O86,_xlfn.ANCHORARRAY(#REF!),0))),N89&amp;"Por favor no seleccionar los criterios de impacto",O86)</f>
        <v>0</v>
      </c>
      <c r="Q86" s="205"/>
      <c r="R86" s="206"/>
      <c r="S86" s="207"/>
      <c r="T86" s="152">
        <v>5</v>
      </c>
      <c r="U86" s="160"/>
      <c r="V86" s="153" t="str">
        <f t="shared" si="110"/>
        <v/>
      </c>
      <c r="W86" s="154"/>
      <c r="X86" s="154"/>
      <c r="Y86" s="155" t="str">
        <f t="shared" si="105"/>
        <v/>
      </c>
      <c r="Z86" s="154"/>
      <c r="AA86" s="154"/>
      <c r="AB86" s="154"/>
      <c r="AC86" s="156" t="str">
        <f t="shared" si="111"/>
        <v/>
      </c>
      <c r="AD86" s="157" t="str">
        <f t="shared" si="106"/>
        <v/>
      </c>
      <c r="AE86" s="158" t="str">
        <f t="shared" si="107"/>
        <v/>
      </c>
      <c r="AF86" s="157" t="str">
        <f t="shared" si="108"/>
        <v/>
      </c>
      <c r="AG86" s="158" t="str">
        <f t="shared" si="112"/>
        <v/>
      </c>
      <c r="AH86" s="159" t="str">
        <f t="shared" ref="AH86:AH87" si="113">IFERROR(IF(OR(AND(AD86="Muy Baja",AF86="Leve"),AND(AD86="Muy Baja",AF86="Menor"),AND(AD86="Baja",AF86="Leve")),"Bajo",IF(OR(AND(AD86="Muy baja",AF86="Moderado"),AND(AD86="Baja",AF86="Menor"),AND(AD86="Baja",AF86="Moderado"),AND(AD86="Media",AF86="Leve"),AND(AD86="Media",AF86="Menor"),AND(AD86="Media",AF86="Moderado"),AND(AD86="Alta",AF86="Leve"),AND(AD86="Alta",AF86="Menor")),"Moderado",IF(OR(AND(AD86="Muy Baja",AF86="Mayor"),AND(AD86="Baja",AF86="Mayor"),AND(AD86="Media",AF86="Mayor"),AND(AD86="Alta",AF86="Moderado"),AND(AD86="Alta",AF86="Mayor"),AND(AD86="Muy Alta",AF86="Leve"),AND(AD86="Muy Alta",AF86="Menor"),AND(AD86="Muy Alta",AF86="Moderado"),AND(AD86="Muy Alta",AF86="Mayor")),"Alto",IF(OR(AND(AD86="Muy Baja",AF86="Catastrófico"),AND(AD86="Baja",AF86="Catastrófico"),AND(AD86="Media",AF86="Catastrófico"),AND(AD86="Alta",AF86="Catastrófico"),AND(AD86="Muy Alta",AF86="Catastrófico")),"Extremo","")))),"")</f>
        <v/>
      </c>
      <c r="AI86" s="161"/>
      <c r="AJ86" s="181"/>
      <c r="AK86" s="200"/>
      <c r="AL86" s="187"/>
      <c r="AM86" s="195"/>
      <c r="AN86" s="183"/>
      <c r="AO86" s="185"/>
      <c r="AP86" s="181"/>
    </row>
    <row r="87" spans="1:73" ht="15" customHeight="1" x14ac:dyDescent="0.2">
      <c r="A87" s="214"/>
      <c r="B87" s="241"/>
      <c r="C87" s="245"/>
      <c r="D87" s="183"/>
      <c r="E87" s="181"/>
      <c r="F87" s="181"/>
      <c r="G87" s="181"/>
      <c r="H87" s="197"/>
      <c r="I87" s="242"/>
      <c r="J87" s="217"/>
      <c r="K87" s="183"/>
      <c r="L87" s="185"/>
      <c r="M87" s="205"/>
      <c r="N87" s="206"/>
      <c r="O87" s="203"/>
      <c r="P87" s="239">
        <f>IF(NOT(ISERROR(MATCH(O87,_xlfn.ANCHORARRAY(#REF!),0))),N90&amp;"Por favor no seleccionar los criterios de impacto",O87)</f>
        <v>0</v>
      </c>
      <c r="Q87" s="205"/>
      <c r="R87" s="206"/>
      <c r="S87" s="207"/>
      <c r="T87" s="152">
        <v>6</v>
      </c>
      <c r="U87" s="160"/>
      <c r="V87" s="153" t="str">
        <f t="shared" si="110"/>
        <v/>
      </c>
      <c r="W87" s="154"/>
      <c r="X87" s="154"/>
      <c r="Y87" s="155" t="str">
        <f t="shared" si="105"/>
        <v/>
      </c>
      <c r="Z87" s="154"/>
      <c r="AA87" s="154"/>
      <c r="AB87" s="154"/>
      <c r="AC87" s="156" t="str">
        <f t="shared" si="111"/>
        <v/>
      </c>
      <c r="AD87" s="157" t="str">
        <f t="shared" si="106"/>
        <v/>
      </c>
      <c r="AE87" s="158" t="str">
        <f t="shared" si="107"/>
        <v/>
      </c>
      <c r="AF87" s="157" t="str">
        <f t="shared" si="108"/>
        <v/>
      </c>
      <c r="AG87" s="158" t="str">
        <f t="shared" si="112"/>
        <v/>
      </c>
      <c r="AH87" s="159" t="str">
        <f t="shared" si="113"/>
        <v/>
      </c>
      <c r="AI87" s="161"/>
      <c r="AJ87" s="181"/>
      <c r="AK87" s="186"/>
      <c r="AL87" s="187"/>
      <c r="AM87" s="195"/>
      <c r="AN87" s="183"/>
      <c r="AO87" s="185"/>
      <c r="AP87" s="181"/>
    </row>
    <row r="88" spans="1:73" ht="141.75" customHeight="1" x14ac:dyDescent="0.2">
      <c r="A88" s="214">
        <v>14</v>
      </c>
      <c r="B88" s="243" t="s">
        <v>246</v>
      </c>
      <c r="C88" s="243" t="s">
        <v>421</v>
      </c>
      <c r="D88" s="184" t="s">
        <v>268</v>
      </c>
      <c r="E88" s="180" t="s">
        <v>422</v>
      </c>
      <c r="F88" s="180" t="s">
        <v>423</v>
      </c>
      <c r="G88" s="180" t="s">
        <v>424</v>
      </c>
      <c r="H88" s="196" t="s">
        <v>425</v>
      </c>
      <c r="I88" s="246" t="s">
        <v>426</v>
      </c>
      <c r="J88" s="218" t="s">
        <v>230</v>
      </c>
      <c r="K88" s="184" t="s">
        <v>227</v>
      </c>
      <c r="L88" s="186">
        <v>832</v>
      </c>
      <c r="M88" s="205" t="str">
        <f t="shared" ref="M88" si="114">IF(L88&lt;=0,"",IF(L88&lt;=2,"Muy Baja",IF(L88&lt;=24,"Baja",IF(L88&lt;=500,"Media",IF(L88&lt;=5000,"Alta","Muy Alta")))))</f>
        <v>Alta</v>
      </c>
      <c r="N88" s="206">
        <f t="shared" ref="N88" si="115">IF(M88="","",IF(M88="Muy Baja",0.2,IF(M88="Baja",0.4,IF(M88="Media",0.6,IF(M88="Alta",0.8,IF(M88="Muy Alta",1,))))))</f>
        <v>0.8</v>
      </c>
      <c r="O88" s="211" t="s">
        <v>136</v>
      </c>
      <c r="P88" s="239" t="str">
        <f>IF(NOT(ISERROR(MATCH(O88,'Tabla Impacto'!$B$221:$B$223,0))),'Tabla Impacto'!$F$223&amp;"Por favor no seleccionar los criterios de impacto(Afectación Económica o presupuestal y Pérdida Reputacional)",O88)</f>
        <v xml:space="preserve">     El riesgo afecta la imagen de la entidad a nivel nacional, con efecto publicitarios sostenible a nivel país</v>
      </c>
      <c r="Q88" s="205" t="str">
        <f>IF(OR(P88='Tabla Impacto'!$C$11,P88='Tabla Impacto'!$D$11),"Leve",IF(OR(P88='Tabla Impacto'!$C$12,P88='Tabla Impacto'!$D$12),"Menor",IF(OR(P88='Tabla Impacto'!$C$13,P88='Tabla Impacto'!$D$13),"Moderado",IF(OR(P88='Tabla Impacto'!$C$14,P88='Tabla Impacto'!$D$14),"Mayor",IF(OR(P88='Tabla Impacto'!$C$15,P88='Tabla Impacto'!$D$15),"Catastrófico","")))))</f>
        <v>Catastrófico</v>
      </c>
      <c r="R88" s="206">
        <f t="shared" ref="R88" si="116">IF(Q88="","",IF(Q88="Leve",0.2,IF(Q88="Menor",0.4,IF(Q88="Moderado",0.6,IF(Q88="Mayor",0.8,IF(Q88="Catastrófico",1,))))))</f>
        <v>1</v>
      </c>
      <c r="S88" s="207" t="str">
        <f t="shared" ref="S88" si="117">IF(OR(AND(M88="Muy Baja",Q88="Leve"),AND(M88="Muy Baja",Q88="Menor"),AND(M88="Baja",Q88="Leve")),"Bajo",IF(OR(AND(M88="Muy baja",Q88="Moderado"),AND(M88="Baja",Q88="Menor"),AND(M88="Baja",Q88="Moderado"),AND(M88="Media",Q88="Leve"),AND(M88="Media",Q88="Menor"),AND(M88="Media",Q88="Moderado"),AND(M88="Alta",Q88="Leve"),AND(M88="Alta",Q88="Menor")),"Moderado",IF(OR(AND(M88="Muy Baja",Q88="Mayor"),AND(M88="Baja",Q88="Mayor"),AND(M88="Media",Q88="Mayor"),AND(M88="Alta",Q88="Moderado"),AND(M88="Alta",Q88="Mayor"),AND(M88="Muy Alta",Q88="Leve"),AND(M88="Muy Alta",Q88="Menor"),AND(M88="Muy Alta",Q88="Moderado"),AND(M88="Muy Alta",Q88="Mayor")),"Alto",IF(OR(AND(M88="Muy Baja",Q88="Catastrófico"),AND(M88="Baja",Q88="Catastrófico"),AND(M88="Media",Q88="Catastrófico"),AND(M88="Alta",Q88="Catastrófico"),AND(M88="Muy Alta",Q88="Catastrófico")),"Extremo",""))))</f>
        <v>Extremo</v>
      </c>
      <c r="T88" s="152">
        <v>1</v>
      </c>
      <c r="U88" s="173" t="s">
        <v>427</v>
      </c>
      <c r="V88" s="153" t="str">
        <f>IF(OR(W88="Preventivo",W88="Detectivo"),"Probabilidad",IF(W88="Correctivo","Impacto",""))</f>
        <v>Probabilidad</v>
      </c>
      <c r="W88" s="145" t="s">
        <v>13</v>
      </c>
      <c r="X88" s="145" t="s">
        <v>9</v>
      </c>
      <c r="Y88" s="155" t="str">
        <f>IF(AND(W88="Preventivo",X88="Automático"),"50%",IF(AND(W88="Preventivo",X88="Manual"),"40%",IF(AND(W88="Detectivo",X88="Automático"),"40%",IF(AND(W88="Detectivo",X88="Manual"),"30%",IF(AND(W88="Correctivo",X88="Automático"),"35%",IF(AND(W88="Correctivo",X88="Manual"),"25%",""))))))</f>
        <v>50%</v>
      </c>
      <c r="Z88" s="145" t="s">
        <v>18</v>
      </c>
      <c r="AA88" s="145" t="s">
        <v>21</v>
      </c>
      <c r="AB88" s="145" t="s">
        <v>112</v>
      </c>
      <c r="AC88" s="156">
        <f>IFERROR(IF(V88="Probabilidad",(N88-(+N88*Y88)),IF(V88="Impacto",N88,"")),"")</f>
        <v>0.4</v>
      </c>
      <c r="AD88" s="157" t="str">
        <f>IFERROR(IF(AC88="","",IF(AC88&lt;=0.2,"Muy Baja",IF(AC88&lt;=0.4,"Baja",IF(AC88&lt;=0.6,"Media",IF(AC88&lt;=0.8,"Alta","Muy Alta"))))),"")</f>
        <v>Baja</v>
      </c>
      <c r="AE88" s="158">
        <f>+AC88</f>
        <v>0.4</v>
      </c>
      <c r="AF88" s="157" t="str">
        <f>IFERROR(IF(AG88="","",IF(AG88&lt;=0.2,"Leve",IF(AG88&lt;=0.4,"Menor",IF(AG88&lt;=0.6,"Moderado",IF(AG88&lt;=0.8,"Mayor","Catastrófico"))))),"")</f>
        <v>Catastrófico</v>
      </c>
      <c r="AG88" s="158">
        <f>IFERROR(IF(V88="Impacto",(R88-(+R88*Y88)),IF(V88="Probabilidad",R88,"")),"")</f>
        <v>1</v>
      </c>
      <c r="AH88" s="159" t="str">
        <f>IFERROR(IF(OR(AND(AD88="Muy Baja",AF88="Leve"),AND(AD88="Muy Baja",AF88="Menor"),AND(AD88="Baja",AF88="Leve")),"Bajo",IF(OR(AND(AD88="Muy baja",AF88="Moderado"),AND(AD88="Baja",AF88="Menor"),AND(AD88="Baja",AF88="Moderado"),AND(AD88="Media",AF88="Leve"),AND(AD88="Media",AF88="Menor"),AND(AD88="Media",AF88="Moderado"),AND(AD88="Alta",AF88="Leve"),AND(AD88="Alta",AF88="Menor")),"Moderado",IF(OR(AND(AD88="Muy Baja",AF88="Mayor"),AND(AD88="Baja",AF88="Mayor"),AND(AD88="Media",AF88="Mayor"),AND(AD88="Alta",AF88="Moderado"),AND(AD88="Alta",AF88="Mayor"),AND(AD88="Muy Alta",AF88="Leve"),AND(AD88="Muy Alta",AF88="Menor"),AND(AD88="Muy Alta",AF88="Moderado"),AND(AD88="Muy Alta",AF88="Mayor")),"Alto",IF(OR(AND(AD88="Muy Baja",AF88="Catastrófico"),AND(AD88="Baja",AF88="Catastrófico"),AND(AD88="Media",AF88="Catastrófico"),AND(AD88="Alta",AF88="Catastrófico"),AND(AD88="Muy Alta",AF88="Catastrófico")),"Extremo","")))),"")</f>
        <v>Extremo</v>
      </c>
      <c r="AI88" s="151" t="s">
        <v>117</v>
      </c>
      <c r="AJ88" s="180" t="s">
        <v>431</v>
      </c>
      <c r="AK88" s="186" t="s">
        <v>187</v>
      </c>
      <c r="AL88" s="188">
        <v>45293</v>
      </c>
      <c r="AM88" s="194">
        <v>45657</v>
      </c>
      <c r="AN88" s="184" t="s">
        <v>284</v>
      </c>
      <c r="AO88" s="190" t="s">
        <v>269</v>
      </c>
      <c r="AP88" s="248" t="s">
        <v>432</v>
      </c>
      <c r="AQ88" s="10"/>
      <c r="AR88" s="10"/>
      <c r="AS88" s="10"/>
      <c r="AT88" s="10"/>
      <c r="AU88" s="10"/>
      <c r="AV88" s="10"/>
      <c r="AW88" s="10"/>
      <c r="AX88" s="10"/>
      <c r="AY88" s="10"/>
      <c r="AZ88" s="10"/>
      <c r="BA88" s="10"/>
      <c r="BB88" s="10"/>
      <c r="BC88" s="10"/>
      <c r="BD88" s="10"/>
      <c r="BE88" s="10"/>
      <c r="BF88" s="10"/>
      <c r="BG88" s="10"/>
      <c r="BH88" s="10"/>
      <c r="BI88" s="10"/>
      <c r="BJ88" s="10"/>
      <c r="BK88" s="10"/>
      <c r="BL88" s="10"/>
      <c r="BM88" s="10"/>
      <c r="BN88" s="10"/>
      <c r="BO88" s="10"/>
      <c r="BP88" s="10"/>
      <c r="BQ88" s="10"/>
      <c r="BR88" s="10"/>
      <c r="BS88" s="10"/>
      <c r="BT88" s="10"/>
      <c r="BU88" s="10"/>
    </row>
    <row r="89" spans="1:73" ht="144" customHeight="1" x14ac:dyDescent="0.2">
      <c r="A89" s="214"/>
      <c r="B89" s="241"/>
      <c r="C89" s="241"/>
      <c r="D89" s="183"/>
      <c r="E89" s="181"/>
      <c r="F89" s="181"/>
      <c r="G89" s="181"/>
      <c r="H89" s="197"/>
      <c r="I89" s="242"/>
      <c r="J89" s="217"/>
      <c r="K89" s="183"/>
      <c r="L89" s="185"/>
      <c r="M89" s="205"/>
      <c r="N89" s="206"/>
      <c r="O89" s="203"/>
      <c r="P89" s="239">
        <f>IF(NOT(ISERROR(MATCH(O89,_xlfn.ANCHORARRAY(#REF!),0))),#REF!&amp;"Por favor no seleccionar los criterios de impacto",O89)</f>
        <v>0</v>
      </c>
      <c r="Q89" s="205"/>
      <c r="R89" s="206"/>
      <c r="S89" s="207"/>
      <c r="T89" s="152">
        <v>2</v>
      </c>
      <c r="U89" s="166" t="s">
        <v>428</v>
      </c>
      <c r="V89" s="153" t="str">
        <f>IF(OR(W89="Preventivo",W89="Detectivo"),"Probabilidad",IF(W89="Correctivo","Impacto",""))</f>
        <v>Probabilidad</v>
      </c>
      <c r="W89" s="154" t="s">
        <v>13</v>
      </c>
      <c r="X89" s="154" t="s">
        <v>9</v>
      </c>
      <c r="Y89" s="155" t="str">
        <f t="shared" ref="Y89:Y93" si="118">IF(AND(W89="Preventivo",X89="Automático"),"50%",IF(AND(W89="Preventivo",X89="Manual"),"40%",IF(AND(W89="Detectivo",X89="Automático"),"40%",IF(AND(W89="Detectivo",X89="Manual"),"30%",IF(AND(W89="Correctivo",X89="Automático"),"35%",IF(AND(W89="Correctivo",X89="Manual"),"25%",""))))))</f>
        <v>50%</v>
      </c>
      <c r="Z89" s="154" t="s">
        <v>18</v>
      </c>
      <c r="AA89" s="154" t="s">
        <v>21</v>
      </c>
      <c r="AB89" s="154" t="s">
        <v>112</v>
      </c>
      <c r="AC89" s="156">
        <f>IFERROR(IF(AND(V88="Probabilidad",V89="Probabilidad"),(AE88-(+AE88*Y89)),IF(V89="Probabilidad",(N88-(+N88*Y89)),IF(V89="Impacto",AE88,""))),"")</f>
        <v>0.2</v>
      </c>
      <c r="AD89" s="157" t="str">
        <f t="shared" ref="AD89:AD93" si="119">IFERROR(IF(AC89="","",IF(AC89&lt;=0.2,"Muy Baja",IF(AC89&lt;=0.4,"Baja",IF(AC89&lt;=0.6,"Media",IF(AC89&lt;=0.8,"Alta","Muy Alta"))))),"")</f>
        <v>Muy Baja</v>
      </c>
      <c r="AE89" s="158">
        <f t="shared" ref="AE89:AE93" si="120">+AC89</f>
        <v>0.2</v>
      </c>
      <c r="AF89" s="157" t="str">
        <f t="shared" ref="AF89:AF93" si="121">IFERROR(IF(AG89="","",IF(AG89&lt;=0.2,"Leve",IF(AG89&lt;=0.4,"Menor",IF(AG89&lt;=0.6,"Moderado",IF(AG89&lt;=0.8,"Mayor","Catastrófico"))))),"")</f>
        <v>Catastrófico</v>
      </c>
      <c r="AG89" s="158">
        <f>IFERROR(IF(AND(V88="Impacto",V89="Impacto"),(AG88-(+AG88*Y89)),IF(V89="Impacto",(R88-(+R88*Y89)),IF(V89="Probabilidad",AG88,""))),"")</f>
        <v>1</v>
      </c>
      <c r="AH89" s="159" t="str">
        <f t="shared" ref="AH89:AH90" si="122">IFERROR(IF(OR(AND(AD89="Muy Baja",AF89="Leve"),AND(AD89="Muy Baja",AF89="Menor"),AND(AD89="Baja",AF89="Leve")),"Bajo",IF(OR(AND(AD89="Muy baja",AF89="Moderado"),AND(AD89="Baja",AF89="Menor"),AND(AD89="Baja",AF89="Moderado"),AND(AD89="Media",AF89="Leve"),AND(AD89="Media",AF89="Menor"),AND(AD89="Media",AF89="Moderado"),AND(AD89="Alta",AF89="Leve"),AND(AD89="Alta",AF89="Menor")),"Moderado",IF(OR(AND(AD89="Muy Baja",AF89="Mayor"),AND(AD89="Baja",AF89="Mayor"),AND(AD89="Media",AF89="Mayor"),AND(AD89="Alta",AF89="Moderado"),AND(AD89="Alta",AF89="Mayor"),AND(AD89="Muy Alta",AF89="Leve"),AND(AD89="Muy Alta",AF89="Menor"),AND(AD89="Muy Alta",AF89="Moderado"),AND(AD89="Muy Alta",AF89="Mayor")),"Alto",IF(OR(AND(AD89="Muy Baja",AF89="Catastrófico"),AND(AD89="Baja",AF89="Catastrófico"),AND(AD89="Media",AF89="Catastrófico"),AND(AD89="Alta",AF89="Catastrófico"),AND(AD89="Muy Alta",AF89="Catastrófico")),"Extremo","")))),"")</f>
        <v>Extremo</v>
      </c>
      <c r="AI89" s="161" t="s">
        <v>117</v>
      </c>
      <c r="AJ89" s="181"/>
      <c r="AK89" s="185"/>
      <c r="AL89" s="187"/>
      <c r="AM89" s="195"/>
      <c r="AN89" s="183"/>
      <c r="AO89" s="190"/>
      <c r="AP89" s="249"/>
    </row>
    <row r="90" spans="1:73" ht="192.75" customHeight="1" x14ac:dyDescent="0.2">
      <c r="A90" s="214"/>
      <c r="B90" s="241"/>
      <c r="C90" s="241"/>
      <c r="D90" s="183"/>
      <c r="E90" s="181"/>
      <c r="F90" s="181"/>
      <c r="G90" s="181"/>
      <c r="H90" s="197"/>
      <c r="I90" s="242"/>
      <c r="J90" s="217"/>
      <c r="K90" s="183"/>
      <c r="L90" s="185"/>
      <c r="M90" s="205"/>
      <c r="N90" s="206"/>
      <c r="O90" s="203"/>
      <c r="P90" s="239">
        <f>IF(NOT(ISERROR(MATCH(O90,_xlfn.ANCHORARRAY(#REF!),0))),#REF!&amp;"Por favor no seleccionar los criterios de impacto",O90)</f>
        <v>0</v>
      </c>
      <c r="Q90" s="205"/>
      <c r="R90" s="206"/>
      <c r="S90" s="207"/>
      <c r="T90" s="152">
        <v>3</v>
      </c>
      <c r="U90" s="166" t="s">
        <v>429</v>
      </c>
      <c r="V90" s="153" t="str">
        <f>IF(OR(W90="Preventivo",W90="Detectivo"),"Probabilidad",IF(W90="Correctivo","Impacto",""))</f>
        <v>Probabilidad</v>
      </c>
      <c r="W90" s="154" t="s">
        <v>14</v>
      </c>
      <c r="X90" s="154" t="s">
        <v>9</v>
      </c>
      <c r="Y90" s="155" t="str">
        <f t="shared" si="118"/>
        <v>40%</v>
      </c>
      <c r="Z90" s="154" t="s">
        <v>18</v>
      </c>
      <c r="AA90" s="154" t="s">
        <v>21</v>
      </c>
      <c r="AB90" s="154" t="s">
        <v>112</v>
      </c>
      <c r="AC90" s="156">
        <f>IFERROR(IF(AND(V89="Probabilidad",V90="Probabilidad"),(AE89-(+AE89*Y90)),IF(AND(V89="Impacto",V90="Probabilidad"),(AE88-(+AE88*Y90)),IF(V90="Impacto",AE89,""))),"")</f>
        <v>0.12</v>
      </c>
      <c r="AD90" s="157" t="str">
        <f t="shared" si="119"/>
        <v>Muy Baja</v>
      </c>
      <c r="AE90" s="158">
        <f t="shared" si="120"/>
        <v>0.12</v>
      </c>
      <c r="AF90" s="157" t="str">
        <f t="shared" si="121"/>
        <v>Catastrófico</v>
      </c>
      <c r="AG90" s="158">
        <f>IFERROR(IF(AND(V89="Impacto",V90="Impacto"),(AG89-(+AG89*Y90)),IF(AND(V89="Probabilidad",V90="Impacto"),(AG88-(+AG88*Y90)),IF(V90="Probabilidad",AG89,""))),"")</f>
        <v>1</v>
      </c>
      <c r="AH90" s="159" t="str">
        <f t="shared" si="122"/>
        <v>Extremo</v>
      </c>
      <c r="AI90" s="161" t="s">
        <v>117</v>
      </c>
      <c r="AJ90" s="181"/>
      <c r="AK90" s="185"/>
      <c r="AL90" s="187"/>
      <c r="AM90" s="195"/>
      <c r="AN90" s="183"/>
      <c r="AO90" s="190"/>
      <c r="AP90" s="249"/>
    </row>
    <row r="91" spans="1:73" ht="142.5" x14ac:dyDescent="0.2">
      <c r="A91" s="214"/>
      <c r="B91" s="241"/>
      <c r="C91" s="241"/>
      <c r="D91" s="183"/>
      <c r="E91" s="181"/>
      <c r="F91" s="181"/>
      <c r="G91" s="181"/>
      <c r="H91" s="197"/>
      <c r="I91" s="242"/>
      <c r="J91" s="217"/>
      <c r="K91" s="183"/>
      <c r="L91" s="185"/>
      <c r="M91" s="205"/>
      <c r="N91" s="206"/>
      <c r="O91" s="203"/>
      <c r="P91" s="239">
        <f>IF(NOT(ISERROR(MATCH(O91,_xlfn.ANCHORARRAY(#REF!),0))),#REF!&amp;"Por favor no seleccionar los criterios de impacto",O91)</f>
        <v>0</v>
      </c>
      <c r="Q91" s="205"/>
      <c r="R91" s="206"/>
      <c r="S91" s="207"/>
      <c r="T91" s="152">
        <v>4</v>
      </c>
      <c r="U91" s="160" t="s">
        <v>430</v>
      </c>
      <c r="V91" s="153" t="str">
        <f t="shared" ref="V91:V93" si="123">IF(OR(W91="Preventivo",W91="Detectivo"),"Probabilidad",IF(W91="Correctivo","Impacto",""))</f>
        <v>Impacto</v>
      </c>
      <c r="W91" s="154" t="s">
        <v>15</v>
      </c>
      <c r="X91" s="154" t="s">
        <v>9</v>
      </c>
      <c r="Y91" s="155" t="str">
        <f t="shared" si="118"/>
        <v>35%</v>
      </c>
      <c r="Z91" s="154" t="s">
        <v>18</v>
      </c>
      <c r="AA91" s="154" t="s">
        <v>21</v>
      </c>
      <c r="AB91" s="154" t="s">
        <v>112</v>
      </c>
      <c r="AC91" s="156">
        <f t="shared" ref="AC91:AC93" si="124">IFERROR(IF(AND(V90="Probabilidad",V91="Probabilidad"),(AE90-(+AE90*Y91)),IF(AND(V90="Impacto",V91="Probabilidad"),(AE89-(+AE89*Y91)),IF(V91="Impacto",AE90,""))),"")</f>
        <v>0.12</v>
      </c>
      <c r="AD91" s="157" t="str">
        <f t="shared" si="119"/>
        <v>Muy Baja</v>
      </c>
      <c r="AE91" s="158">
        <f t="shared" si="120"/>
        <v>0.12</v>
      </c>
      <c r="AF91" s="157" t="str">
        <f t="shared" si="121"/>
        <v>Mayor</v>
      </c>
      <c r="AG91" s="158">
        <f t="shared" ref="AG91:AG93" si="125">IFERROR(IF(AND(V90="Impacto",V91="Impacto"),(AG90-(+AG90*Y91)),IF(AND(V90="Probabilidad",V91="Impacto"),(AG89-(+AG89*Y91)),IF(V91="Probabilidad",AG90,""))),"")</f>
        <v>0.65</v>
      </c>
      <c r="AH91" s="159" t="str">
        <f>IFERROR(IF(OR(AND(AD91="Muy Baja",AF91="Leve"),AND(AD91="Muy Baja",AF91="Menor"),AND(AD91="Baja",AF91="Leve")),"Bajo",IF(OR(AND(AD91="Muy baja",AF91="Moderado"),AND(AD91="Baja",AF91="Menor"),AND(AD91="Baja",AF91="Moderado"),AND(AD91="Media",AF91="Leve"),AND(AD91="Media",AF91="Menor"),AND(AD91="Media",AF91="Moderado"),AND(AD91="Alta",AF91="Leve"),AND(AD91="Alta",AF91="Menor")),"Moderado",IF(OR(AND(AD91="Muy Baja",AF91="Mayor"),AND(AD91="Baja",AF91="Mayor"),AND(AD91="Media",AF91="Mayor"),AND(AD91="Alta",AF91="Moderado"),AND(AD91="Alta",AF91="Mayor"),AND(AD91="Muy Alta",AF91="Leve"),AND(AD91="Muy Alta",AF91="Menor"),AND(AD91="Muy Alta",AF91="Moderado"),AND(AD91="Muy Alta",AF91="Mayor")),"Alto",IF(OR(AND(AD91="Muy Baja",AF91="Catastrófico"),AND(AD91="Baja",AF91="Catastrófico"),AND(AD91="Media",AF91="Catastrófico"),AND(AD91="Alta",AF91="Catastrófico"),AND(AD91="Muy Alta",AF91="Catastrófico")),"Extremo","")))),"")</f>
        <v>Alto</v>
      </c>
      <c r="AI91" s="161" t="s">
        <v>117</v>
      </c>
      <c r="AJ91" s="181"/>
      <c r="AK91" s="185"/>
      <c r="AL91" s="187"/>
      <c r="AM91" s="195"/>
      <c r="AN91" s="183"/>
      <c r="AO91" s="190"/>
      <c r="AP91" s="249"/>
    </row>
    <row r="92" spans="1:73" ht="15" customHeight="1" x14ac:dyDescent="0.2">
      <c r="A92" s="214"/>
      <c r="B92" s="241"/>
      <c r="C92" s="241"/>
      <c r="D92" s="183"/>
      <c r="E92" s="181"/>
      <c r="F92" s="181"/>
      <c r="G92" s="181"/>
      <c r="H92" s="197"/>
      <c r="I92" s="242"/>
      <c r="J92" s="217"/>
      <c r="K92" s="183"/>
      <c r="L92" s="185"/>
      <c r="M92" s="205"/>
      <c r="N92" s="206"/>
      <c r="O92" s="203"/>
      <c r="P92" s="239">
        <f>IF(NOT(ISERROR(MATCH(O92,_xlfn.ANCHORARRAY(#REF!),0))),N95&amp;"Por favor no seleccionar los criterios de impacto",O92)</f>
        <v>0</v>
      </c>
      <c r="Q92" s="205"/>
      <c r="R92" s="206"/>
      <c r="S92" s="207"/>
      <c r="T92" s="152">
        <v>5</v>
      </c>
      <c r="U92" s="160"/>
      <c r="V92" s="153" t="str">
        <f t="shared" si="123"/>
        <v/>
      </c>
      <c r="W92" s="154"/>
      <c r="X92" s="154"/>
      <c r="Y92" s="155" t="str">
        <f t="shared" si="118"/>
        <v/>
      </c>
      <c r="Z92" s="154"/>
      <c r="AA92" s="154"/>
      <c r="AB92" s="154"/>
      <c r="AC92" s="156" t="str">
        <f t="shared" si="124"/>
        <v/>
      </c>
      <c r="AD92" s="157" t="str">
        <f t="shared" si="119"/>
        <v/>
      </c>
      <c r="AE92" s="158" t="str">
        <f t="shared" si="120"/>
        <v/>
      </c>
      <c r="AF92" s="157" t="str">
        <f t="shared" si="121"/>
        <v/>
      </c>
      <c r="AG92" s="158" t="str">
        <f t="shared" si="125"/>
        <v/>
      </c>
      <c r="AH92" s="159" t="str">
        <f t="shared" ref="AH92:AH93" si="126">IFERROR(IF(OR(AND(AD92="Muy Baja",AF92="Leve"),AND(AD92="Muy Baja",AF92="Menor"),AND(AD92="Baja",AF92="Leve")),"Bajo",IF(OR(AND(AD92="Muy baja",AF92="Moderado"),AND(AD92="Baja",AF92="Menor"),AND(AD92="Baja",AF92="Moderado"),AND(AD92="Media",AF92="Leve"),AND(AD92="Media",AF92="Menor"),AND(AD92="Media",AF92="Moderado"),AND(AD92="Alta",AF92="Leve"),AND(AD92="Alta",AF92="Menor")),"Moderado",IF(OR(AND(AD92="Muy Baja",AF92="Mayor"),AND(AD92="Baja",AF92="Mayor"),AND(AD92="Media",AF92="Mayor"),AND(AD92="Alta",AF92="Moderado"),AND(AD92="Alta",AF92="Mayor"),AND(AD92="Muy Alta",AF92="Leve"),AND(AD92="Muy Alta",AF92="Menor"),AND(AD92="Muy Alta",AF92="Moderado"),AND(AD92="Muy Alta",AF92="Mayor")),"Alto",IF(OR(AND(AD92="Muy Baja",AF92="Catastrófico"),AND(AD92="Baja",AF92="Catastrófico"),AND(AD92="Media",AF92="Catastrófico"),AND(AD92="Alta",AF92="Catastrófico"),AND(AD92="Muy Alta",AF92="Catastrófico")),"Extremo","")))),"")</f>
        <v/>
      </c>
      <c r="AI92" s="161"/>
      <c r="AJ92" s="181"/>
      <c r="AK92" s="185"/>
      <c r="AL92" s="187"/>
      <c r="AM92" s="195"/>
      <c r="AN92" s="183"/>
      <c r="AO92" s="190"/>
      <c r="AP92" s="249"/>
    </row>
    <row r="93" spans="1:73" ht="15" customHeight="1" x14ac:dyDescent="0.2">
      <c r="A93" s="214"/>
      <c r="B93" s="241"/>
      <c r="C93" s="241"/>
      <c r="D93" s="183"/>
      <c r="E93" s="181"/>
      <c r="F93" s="181"/>
      <c r="G93" s="181"/>
      <c r="H93" s="197"/>
      <c r="I93" s="242"/>
      <c r="J93" s="217"/>
      <c r="K93" s="183"/>
      <c r="L93" s="185"/>
      <c r="M93" s="205"/>
      <c r="N93" s="206"/>
      <c r="O93" s="203"/>
      <c r="P93" s="239">
        <f>IF(NOT(ISERROR(MATCH(O93,_xlfn.ANCHORARRAY(#REF!),0))),N96&amp;"Por favor no seleccionar los criterios de impacto",O93)</f>
        <v>0</v>
      </c>
      <c r="Q93" s="205"/>
      <c r="R93" s="206"/>
      <c r="S93" s="207"/>
      <c r="T93" s="152">
        <v>6</v>
      </c>
      <c r="U93" s="160"/>
      <c r="V93" s="153" t="str">
        <f t="shared" si="123"/>
        <v/>
      </c>
      <c r="W93" s="154"/>
      <c r="X93" s="154"/>
      <c r="Y93" s="155" t="str">
        <f t="shared" si="118"/>
        <v/>
      </c>
      <c r="Z93" s="154"/>
      <c r="AA93" s="154"/>
      <c r="AB93" s="154"/>
      <c r="AC93" s="156" t="str">
        <f t="shared" si="124"/>
        <v/>
      </c>
      <c r="AD93" s="157" t="str">
        <f t="shared" si="119"/>
        <v/>
      </c>
      <c r="AE93" s="158" t="str">
        <f t="shared" si="120"/>
        <v/>
      </c>
      <c r="AF93" s="157" t="str">
        <f t="shared" si="121"/>
        <v/>
      </c>
      <c r="AG93" s="158" t="str">
        <f t="shared" si="125"/>
        <v/>
      </c>
      <c r="AH93" s="159" t="str">
        <f t="shared" si="126"/>
        <v/>
      </c>
      <c r="AI93" s="161"/>
      <c r="AJ93" s="181"/>
      <c r="AK93" s="185"/>
      <c r="AL93" s="187"/>
      <c r="AM93" s="195"/>
      <c r="AN93" s="183"/>
      <c r="AO93" s="191"/>
      <c r="AP93" s="250"/>
    </row>
    <row r="94" spans="1:73" ht="196.5" customHeight="1" x14ac:dyDescent="0.2">
      <c r="A94" s="214">
        <v>15</v>
      </c>
      <c r="B94" s="243" t="s">
        <v>248</v>
      </c>
      <c r="C94" s="244" t="s">
        <v>433</v>
      </c>
      <c r="D94" s="184" t="s">
        <v>268</v>
      </c>
      <c r="E94" s="180" t="s">
        <v>434</v>
      </c>
      <c r="F94" s="180" t="s">
        <v>435</v>
      </c>
      <c r="G94" s="181" t="s">
        <v>828</v>
      </c>
      <c r="H94" s="196" t="s">
        <v>436</v>
      </c>
      <c r="I94" s="246" t="s">
        <v>437</v>
      </c>
      <c r="J94" s="218" t="s">
        <v>230</v>
      </c>
      <c r="K94" s="184" t="s">
        <v>227</v>
      </c>
      <c r="L94" s="186">
        <v>617000</v>
      </c>
      <c r="M94" s="205" t="str">
        <f t="shared" ref="M94" si="127">IF(L94&lt;=0,"",IF(L94&lt;=2,"Muy Baja",IF(L94&lt;=24,"Baja",IF(L94&lt;=500,"Media",IF(L94&lt;=5000,"Alta","Muy Alta")))))</f>
        <v>Muy Alta</v>
      </c>
      <c r="N94" s="206">
        <f t="shared" ref="N94" si="128">IF(M94="","",IF(M94="Muy Baja",0.2,IF(M94="Baja",0.4,IF(M94="Media",0.6,IF(M94="Alta",0.8,IF(M94="Muy Alta",1,))))))</f>
        <v>1</v>
      </c>
      <c r="O94" s="211" t="s">
        <v>136</v>
      </c>
      <c r="P94" s="239" t="str">
        <f>IF(NOT(ISERROR(MATCH(O94,'Tabla Impacto'!$B$221:$B$223,0))),'Tabla Impacto'!$F$223&amp;"Por favor no seleccionar los criterios de impacto(Afectación Económica o presupuestal y Pérdida Reputacional)",O94)</f>
        <v xml:space="preserve">     El riesgo afecta la imagen de la entidad a nivel nacional, con efecto publicitarios sostenible a nivel país</v>
      </c>
      <c r="Q94" s="205" t="str">
        <f>IF(OR(P94='Tabla Impacto'!$C$11,P94='Tabla Impacto'!$D$11),"Leve",IF(OR(P94='Tabla Impacto'!$C$12,P94='Tabla Impacto'!$D$12),"Menor",IF(OR(P94='Tabla Impacto'!$C$13,P94='Tabla Impacto'!$D$13),"Moderado",IF(OR(P94='Tabla Impacto'!$C$14,P94='Tabla Impacto'!$D$14),"Mayor",IF(OR(P94='Tabla Impacto'!$C$15,P94='Tabla Impacto'!$D$15),"Catastrófico","")))))</f>
        <v>Catastrófico</v>
      </c>
      <c r="R94" s="206">
        <f t="shared" ref="R94" si="129">IF(Q94="","",IF(Q94="Leve",0.2,IF(Q94="Menor",0.4,IF(Q94="Moderado",0.6,IF(Q94="Mayor",0.8,IF(Q94="Catastrófico",1,))))))</f>
        <v>1</v>
      </c>
      <c r="S94" s="207" t="str">
        <f t="shared" ref="S94" si="130">IF(OR(AND(M94="Muy Baja",Q94="Leve"),AND(M94="Muy Baja",Q94="Menor"),AND(M94="Baja",Q94="Leve")),"Bajo",IF(OR(AND(M94="Muy baja",Q94="Moderado"),AND(M94="Baja",Q94="Menor"),AND(M94="Baja",Q94="Moderado"),AND(M94="Media",Q94="Leve"),AND(M94="Media",Q94="Menor"),AND(M94="Media",Q94="Moderado"),AND(M94="Alta",Q94="Leve"),AND(M94="Alta",Q94="Menor")),"Moderado",IF(OR(AND(M94="Muy Baja",Q94="Mayor"),AND(M94="Baja",Q94="Mayor"),AND(M94="Media",Q94="Mayor"),AND(M94="Alta",Q94="Moderado"),AND(M94="Alta",Q94="Mayor"),AND(M94="Muy Alta",Q94="Leve"),AND(M94="Muy Alta",Q94="Menor"),AND(M94="Muy Alta",Q94="Moderado"),AND(M94="Muy Alta",Q94="Mayor")),"Alto",IF(OR(AND(M94="Muy Baja",Q94="Catastrófico"),AND(M94="Baja",Q94="Catastrófico"),AND(M94="Media",Q94="Catastrófico"),AND(M94="Alta",Q94="Catastrófico"),AND(M94="Muy Alta",Q94="Catastrófico")),"Extremo",""))))</f>
        <v>Extremo</v>
      </c>
      <c r="T94" s="152">
        <v>1</v>
      </c>
      <c r="U94" s="173" t="s">
        <v>438</v>
      </c>
      <c r="V94" s="153" t="str">
        <f t="shared" ref="V94:V99" si="131">IF(OR(W94="Preventivo",W94="Detectivo"),"Probabilidad",IF(W94="Correctivo","Impacto",""))</f>
        <v>Probabilidad</v>
      </c>
      <c r="W94" s="145" t="s">
        <v>13</v>
      </c>
      <c r="X94" s="145" t="s">
        <v>8</v>
      </c>
      <c r="Y94" s="155" t="str">
        <f>IF(AND(W94="Preventivo",X94="Automático"),"50%",IF(AND(W94="Preventivo",X94="Manual"),"40%",IF(AND(W94="Detectivo",X94="Automático"),"40%",IF(AND(W94="Detectivo",X94="Manual"),"30%",IF(AND(W94="Correctivo",X94="Automático"),"35%",IF(AND(W94="Correctivo",X94="Manual"),"25%",""))))))</f>
        <v>40%</v>
      </c>
      <c r="Z94" s="145" t="s">
        <v>18</v>
      </c>
      <c r="AA94" s="145" t="s">
        <v>21</v>
      </c>
      <c r="AB94" s="145" t="s">
        <v>112</v>
      </c>
      <c r="AC94" s="156">
        <f>IFERROR(IF(V94="Probabilidad",(N94-(+N94*Y94)),IF(V94="Impacto",N94,"")),"")</f>
        <v>0.6</v>
      </c>
      <c r="AD94" s="157" t="str">
        <f>IFERROR(IF(AC94="","",IF(AC94&lt;=0.2,"Muy Baja",IF(AC94&lt;=0.4,"Baja",IF(AC94&lt;=0.6,"Media",IF(AC94&lt;=0.8,"Alta","Muy Alta"))))),"")</f>
        <v>Media</v>
      </c>
      <c r="AE94" s="158">
        <f>+AC94</f>
        <v>0.6</v>
      </c>
      <c r="AF94" s="157" t="str">
        <f>IFERROR(IF(AG94="","",IF(AG94&lt;=0.2,"Leve",IF(AG94&lt;=0.4,"Menor",IF(AG94&lt;=0.6,"Moderado",IF(AG94&lt;=0.8,"Mayor","Catastrófico"))))),"")</f>
        <v>Catastrófico</v>
      </c>
      <c r="AG94" s="158">
        <f>IFERROR(IF(V94="Impacto",(R94-(+R94*Y94)),IF(V94="Probabilidad",R94,"")),"")</f>
        <v>1</v>
      </c>
      <c r="AH94" s="159" t="str">
        <f>IFERROR(IF(OR(AND(AD94="Muy Baja",AF94="Leve"),AND(AD94="Muy Baja",AF94="Menor"),AND(AD94="Baja",AF94="Leve")),"Bajo",IF(OR(AND(AD94="Muy baja",AF94="Moderado"),AND(AD94="Baja",AF94="Menor"),AND(AD94="Baja",AF94="Moderado"),AND(AD94="Media",AF94="Leve"),AND(AD94="Media",AF94="Menor"),AND(AD94="Media",AF94="Moderado"),AND(AD94="Alta",AF94="Leve"),AND(AD94="Alta",AF94="Menor")),"Moderado",IF(OR(AND(AD94="Muy Baja",AF94="Mayor"),AND(AD94="Baja",AF94="Mayor"),AND(AD94="Media",AF94="Mayor"),AND(AD94="Alta",AF94="Moderado"),AND(AD94="Alta",AF94="Mayor"),AND(AD94="Muy Alta",AF94="Leve"),AND(AD94="Muy Alta",AF94="Menor"),AND(AD94="Muy Alta",AF94="Moderado"),AND(AD94="Muy Alta",AF94="Mayor")),"Alto",IF(OR(AND(AD94="Muy Baja",AF94="Catastrófico"),AND(AD94="Baja",AF94="Catastrófico"),AND(AD94="Media",AF94="Catastrófico"),AND(AD94="Alta",AF94="Catastrófico"),AND(AD94="Muy Alta",AF94="Catastrófico")),"Extremo","")))),"")</f>
        <v>Extremo</v>
      </c>
      <c r="AI94" s="151" t="s">
        <v>117</v>
      </c>
      <c r="AJ94" s="251" t="s">
        <v>441</v>
      </c>
      <c r="AK94" s="186" t="s">
        <v>190</v>
      </c>
      <c r="AL94" s="188">
        <v>45293</v>
      </c>
      <c r="AM94" s="194">
        <v>45657</v>
      </c>
      <c r="AN94" s="184" t="s">
        <v>284</v>
      </c>
      <c r="AO94" s="186" t="s">
        <v>269</v>
      </c>
      <c r="AP94" s="251" t="s">
        <v>442</v>
      </c>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row>
    <row r="95" spans="1:73" ht="145.5" customHeight="1" x14ac:dyDescent="0.2">
      <c r="A95" s="214"/>
      <c r="B95" s="241"/>
      <c r="C95" s="245"/>
      <c r="D95" s="183"/>
      <c r="E95" s="181"/>
      <c r="F95" s="181"/>
      <c r="G95" s="181"/>
      <c r="H95" s="197"/>
      <c r="I95" s="242"/>
      <c r="J95" s="217"/>
      <c r="K95" s="183"/>
      <c r="L95" s="185"/>
      <c r="M95" s="205"/>
      <c r="N95" s="206"/>
      <c r="O95" s="203"/>
      <c r="P95" s="239">
        <f>IF(NOT(ISERROR(MATCH(O95,_xlfn.ANCHORARRAY(#REF!),0))),#REF!&amp;"Por favor no seleccionar los criterios de impacto",O95)</f>
        <v>0</v>
      </c>
      <c r="Q95" s="205"/>
      <c r="R95" s="206"/>
      <c r="S95" s="207"/>
      <c r="T95" s="152">
        <v>2</v>
      </c>
      <c r="U95" s="166" t="s">
        <v>439</v>
      </c>
      <c r="V95" s="153" t="str">
        <f t="shared" si="131"/>
        <v>Probabilidad</v>
      </c>
      <c r="W95" s="154" t="s">
        <v>14</v>
      </c>
      <c r="X95" s="154" t="s">
        <v>8</v>
      </c>
      <c r="Y95" s="155" t="str">
        <f t="shared" ref="Y95:Y96" si="132">IF(AND(W95="Preventivo",X95="Automático"),"50%",IF(AND(W95="Preventivo",X95="Manual"),"40%",IF(AND(W95="Detectivo",X95="Automático"),"40%",IF(AND(W95="Detectivo",X95="Manual"),"30%",IF(AND(W95="Correctivo",X95="Automático"),"35%",IF(AND(W95="Correctivo",X95="Manual"),"25%",""))))))</f>
        <v>30%</v>
      </c>
      <c r="Z95" s="154" t="s">
        <v>18</v>
      </c>
      <c r="AA95" s="154" t="s">
        <v>21</v>
      </c>
      <c r="AB95" s="154" t="s">
        <v>112</v>
      </c>
      <c r="AC95" s="156">
        <f>IFERROR(IF(AND(V94="Probabilidad",V95="Probabilidad"),(AE94-(+AE94*Y95)),IF(V95="Probabilidad",(N94-(+N94*Y95)),IF(V95="Impacto",AE94,""))),"")</f>
        <v>0.42</v>
      </c>
      <c r="AD95" s="157" t="str">
        <f t="shared" ref="AD95:AD96" si="133">IFERROR(IF(AC95="","",IF(AC95&lt;=0.2,"Muy Baja",IF(AC95&lt;=0.4,"Baja",IF(AC95&lt;=0.6,"Media",IF(AC95&lt;=0.8,"Alta","Muy Alta"))))),"")</f>
        <v>Media</v>
      </c>
      <c r="AE95" s="158">
        <f t="shared" ref="AE95:AE96" si="134">+AC95</f>
        <v>0.42</v>
      </c>
      <c r="AF95" s="157" t="str">
        <f t="shared" ref="AF95:AF96" si="135">IFERROR(IF(AG95="","",IF(AG95&lt;=0.2,"Leve",IF(AG95&lt;=0.4,"Menor",IF(AG95&lt;=0.6,"Moderado",IF(AG95&lt;=0.8,"Mayor","Catastrófico"))))),"")</f>
        <v>Catastrófico</v>
      </c>
      <c r="AG95" s="158">
        <f>IFERROR(IF(AND(V94="Impacto",V95="Impacto"),(AG94-(+AG94*Y95)),IF(V95="Impacto",(R94-(+R94*Y95)),IF(V95="Probabilidad",AG94,""))),"")</f>
        <v>1</v>
      </c>
      <c r="AH95" s="159" t="str">
        <f t="shared" ref="AH95:AH96" si="136">IFERROR(IF(OR(AND(AD95="Muy Baja",AF95="Leve"),AND(AD95="Muy Baja",AF95="Menor"),AND(AD95="Baja",AF95="Leve")),"Bajo",IF(OR(AND(AD95="Muy baja",AF95="Moderado"),AND(AD95="Baja",AF95="Menor"),AND(AD95="Baja",AF95="Moderado"),AND(AD95="Media",AF95="Leve"),AND(AD95="Media",AF95="Menor"),AND(AD95="Media",AF95="Moderado"),AND(AD95="Alta",AF95="Leve"),AND(AD95="Alta",AF95="Menor")),"Moderado",IF(OR(AND(AD95="Muy Baja",AF95="Mayor"),AND(AD95="Baja",AF95="Mayor"),AND(AD95="Media",AF95="Mayor"),AND(AD95="Alta",AF95="Moderado"),AND(AD95="Alta",AF95="Mayor"),AND(AD95="Muy Alta",AF95="Leve"),AND(AD95="Muy Alta",AF95="Menor"),AND(AD95="Muy Alta",AF95="Moderado"),AND(AD95="Muy Alta",AF95="Mayor")),"Alto",IF(OR(AND(AD95="Muy Baja",AF95="Catastrófico"),AND(AD95="Baja",AF95="Catastrófico"),AND(AD95="Media",AF95="Catastrófico"),AND(AD95="Alta",AF95="Catastrófico"),AND(AD95="Muy Alta",AF95="Catastrófico")),"Extremo","")))),"")</f>
        <v>Extremo</v>
      </c>
      <c r="AI95" s="161" t="s">
        <v>117</v>
      </c>
      <c r="AJ95" s="252"/>
      <c r="AK95" s="185"/>
      <c r="AL95" s="187"/>
      <c r="AM95" s="195"/>
      <c r="AN95" s="183"/>
      <c r="AO95" s="185"/>
      <c r="AP95" s="252"/>
    </row>
    <row r="96" spans="1:73" ht="116.25" customHeight="1" x14ac:dyDescent="0.2">
      <c r="A96" s="214"/>
      <c r="B96" s="241"/>
      <c r="C96" s="245"/>
      <c r="D96" s="183"/>
      <c r="E96" s="181"/>
      <c r="F96" s="181"/>
      <c r="G96" s="181"/>
      <c r="H96" s="197"/>
      <c r="I96" s="242"/>
      <c r="J96" s="217"/>
      <c r="K96" s="183"/>
      <c r="L96" s="185"/>
      <c r="M96" s="205"/>
      <c r="N96" s="206"/>
      <c r="O96" s="203"/>
      <c r="P96" s="239">
        <f>IF(NOT(ISERROR(MATCH(O96,_xlfn.ANCHORARRAY(#REF!),0))),#REF!&amp;"Por favor no seleccionar los criterios de impacto",O96)</f>
        <v>0</v>
      </c>
      <c r="Q96" s="205"/>
      <c r="R96" s="206"/>
      <c r="S96" s="207"/>
      <c r="T96" s="152">
        <v>3</v>
      </c>
      <c r="U96" s="166" t="s">
        <v>440</v>
      </c>
      <c r="V96" s="153" t="str">
        <f t="shared" si="131"/>
        <v>Probabilidad</v>
      </c>
      <c r="W96" s="154" t="s">
        <v>13</v>
      </c>
      <c r="X96" s="154" t="s">
        <v>8</v>
      </c>
      <c r="Y96" s="155" t="str">
        <f t="shared" si="132"/>
        <v>40%</v>
      </c>
      <c r="Z96" s="154" t="s">
        <v>18</v>
      </c>
      <c r="AA96" s="154" t="s">
        <v>21</v>
      </c>
      <c r="AB96" s="154" t="s">
        <v>112</v>
      </c>
      <c r="AC96" s="156">
        <f>IFERROR(IF(AND(V95="Probabilidad",V96="Probabilidad"),(AE95-(+AE95*Y96)),IF(AND(V95="Impacto",V96="Probabilidad"),(AE94-(+AE94*Y96)),IF(V96="Impacto",AE95,""))),"")</f>
        <v>0.252</v>
      </c>
      <c r="AD96" s="157" t="str">
        <f t="shared" si="133"/>
        <v>Baja</v>
      </c>
      <c r="AE96" s="158">
        <f t="shared" si="134"/>
        <v>0.252</v>
      </c>
      <c r="AF96" s="157" t="str">
        <f t="shared" si="135"/>
        <v>Catastrófico</v>
      </c>
      <c r="AG96" s="158">
        <f>IFERROR(IF(AND(V95="Impacto",V96="Impacto"),(AG95-(+AG95*Y96)),IF(AND(V95="Probabilidad",V96="Impacto"),(AG94-(+AG94*Y96)),IF(V96="Probabilidad",AG95,""))),"")</f>
        <v>1</v>
      </c>
      <c r="AH96" s="159" t="str">
        <f t="shared" si="136"/>
        <v>Extremo</v>
      </c>
      <c r="AI96" s="161" t="s">
        <v>117</v>
      </c>
      <c r="AJ96" s="252"/>
      <c r="AK96" s="185"/>
      <c r="AL96" s="187"/>
      <c r="AM96" s="195"/>
      <c r="AN96" s="183"/>
      <c r="AO96" s="185"/>
      <c r="AP96" s="252"/>
    </row>
    <row r="97" spans="1:73" ht="185.25" x14ac:dyDescent="0.2">
      <c r="A97" s="214">
        <v>16</v>
      </c>
      <c r="B97" s="243" t="s">
        <v>246</v>
      </c>
      <c r="C97" s="243" t="s">
        <v>443</v>
      </c>
      <c r="D97" s="184" t="s">
        <v>268</v>
      </c>
      <c r="E97" s="180" t="s">
        <v>444</v>
      </c>
      <c r="F97" s="180" t="s">
        <v>445</v>
      </c>
      <c r="G97" s="180" t="s">
        <v>446</v>
      </c>
      <c r="H97" s="196" t="s">
        <v>447</v>
      </c>
      <c r="I97" s="246" t="s">
        <v>448</v>
      </c>
      <c r="J97" s="218" t="s">
        <v>238</v>
      </c>
      <c r="K97" s="184" t="s">
        <v>227</v>
      </c>
      <c r="L97" s="186">
        <v>240</v>
      </c>
      <c r="M97" s="205" t="str">
        <f t="shared" ref="M97" si="137">IF(L97&lt;=0,"",IF(L97&lt;=2,"Muy Baja",IF(L97&lt;=24,"Baja",IF(L97&lt;=500,"Media",IF(L97&lt;=5000,"Alta","Muy Alta")))))</f>
        <v>Media</v>
      </c>
      <c r="N97" s="206">
        <f t="shared" ref="N97" si="138">IF(M97="","",IF(M97="Muy Baja",0.2,IF(M97="Baja",0.4,IF(M97="Media",0.6,IF(M97="Alta",0.8,IF(M97="Muy Alta",1,))))))</f>
        <v>0.6</v>
      </c>
      <c r="O97" s="211" t="s">
        <v>131</v>
      </c>
      <c r="P97" s="239" t="str">
        <f>IF(NOT(ISERROR(MATCH(O97,'Tabla Impacto'!$B$221:$B$223,0))),'Tabla Impacto'!$F$223&amp;"Por favor no seleccionar los criterios de impacto(Afectación Económica o presupuestal y Pérdida Reputacional)",O97)</f>
        <v xml:space="preserve">     Mayor a 500 SMLMV </v>
      </c>
      <c r="Q97" s="205" t="str">
        <f>IF(OR(P97='Tabla Impacto'!$C$11,P97='Tabla Impacto'!$D$11),"Leve",IF(OR(P97='Tabla Impacto'!$C$12,P97='Tabla Impacto'!$D$12),"Menor",IF(OR(P97='Tabla Impacto'!$C$13,P97='Tabla Impacto'!$D$13),"Moderado",IF(OR(P97='Tabla Impacto'!$C$14,P97='Tabla Impacto'!$D$14),"Mayor",IF(OR(P97='Tabla Impacto'!$C$15,P97='Tabla Impacto'!$D$15),"Catastrófico","")))))</f>
        <v>Catastrófico</v>
      </c>
      <c r="R97" s="206">
        <f t="shared" ref="R97" si="139">IF(Q97="","",IF(Q97="Leve",0.2,IF(Q97="Menor",0.4,IF(Q97="Moderado",0.6,IF(Q97="Mayor",0.8,IF(Q97="Catastrófico",1,))))))</f>
        <v>1</v>
      </c>
      <c r="S97" s="207" t="str">
        <f t="shared" ref="S97" si="140">IF(OR(AND(M97="Muy Baja",Q97="Leve"),AND(M97="Muy Baja",Q97="Menor"),AND(M97="Baja",Q97="Leve")),"Bajo",IF(OR(AND(M97="Muy baja",Q97="Moderado"),AND(M97="Baja",Q97="Menor"),AND(M97="Baja",Q97="Moderado"),AND(M97="Media",Q97="Leve"),AND(M97="Media",Q97="Menor"),AND(M97="Media",Q97="Moderado"),AND(M97="Alta",Q97="Leve"),AND(M97="Alta",Q97="Menor")),"Moderado",IF(OR(AND(M97="Muy Baja",Q97="Mayor"),AND(M97="Baja",Q97="Mayor"),AND(M97="Media",Q97="Mayor"),AND(M97="Alta",Q97="Moderado"),AND(M97="Alta",Q97="Mayor"),AND(M97="Muy Alta",Q97="Leve"),AND(M97="Muy Alta",Q97="Menor"),AND(M97="Muy Alta",Q97="Moderado"),AND(M97="Muy Alta",Q97="Mayor")),"Alto",IF(OR(AND(M97="Muy Baja",Q97="Catastrófico"),AND(M97="Baja",Q97="Catastrófico"),AND(M97="Media",Q97="Catastrófico"),AND(M97="Alta",Q97="Catastrófico"),AND(M97="Muy Alta",Q97="Catastrófico")),"Extremo",""))))</f>
        <v>Extremo</v>
      </c>
      <c r="T97" s="152">
        <v>1</v>
      </c>
      <c r="U97" s="173" t="s">
        <v>449</v>
      </c>
      <c r="V97" s="153" t="str">
        <f t="shared" si="131"/>
        <v>Probabilidad</v>
      </c>
      <c r="W97" s="145" t="s">
        <v>13</v>
      </c>
      <c r="X97" s="145" t="s">
        <v>9</v>
      </c>
      <c r="Y97" s="155" t="str">
        <f>IF(AND(W97="Preventivo",X97="Automático"),"50%",IF(AND(W97="Preventivo",X97="Manual"),"40%",IF(AND(W97="Detectivo",X97="Automático"),"40%",IF(AND(W97="Detectivo",X97="Manual"),"30%",IF(AND(W97="Correctivo",X97="Automático"),"35%",IF(AND(W97="Correctivo",X97="Manual"),"25%",""))))))</f>
        <v>50%</v>
      </c>
      <c r="Z97" s="145" t="s">
        <v>18</v>
      </c>
      <c r="AA97" s="145" t="s">
        <v>21</v>
      </c>
      <c r="AB97" s="145" t="s">
        <v>112</v>
      </c>
      <c r="AC97" s="156">
        <f>IFERROR(IF(V97="Probabilidad",(N97-(+N97*Y97)),IF(V97="Impacto",N97,"")),"")</f>
        <v>0.3</v>
      </c>
      <c r="AD97" s="157" t="str">
        <f>IFERROR(IF(AC97="","",IF(AC97&lt;=0.2,"Muy Baja",IF(AC97&lt;=0.4,"Baja",IF(AC97&lt;=0.6,"Media",IF(AC97&lt;=0.8,"Alta","Muy Alta"))))),"")</f>
        <v>Baja</v>
      </c>
      <c r="AE97" s="158">
        <f>+AC97</f>
        <v>0.3</v>
      </c>
      <c r="AF97" s="157" t="str">
        <f>IFERROR(IF(AG97="","",IF(AG97&lt;=0.2,"Leve",IF(AG97&lt;=0.4,"Menor",IF(AG97&lt;=0.6,"Moderado",IF(AG97&lt;=0.8,"Mayor","Catastrófico"))))),"")</f>
        <v>Catastrófico</v>
      </c>
      <c r="AG97" s="158">
        <f>IFERROR(IF(V97="Impacto",(R97-(+R97*Y97)),IF(V97="Probabilidad",R97,"")),"")</f>
        <v>1</v>
      </c>
      <c r="AH97" s="159" t="str">
        <f>IFERROR(IF(OR(AND(AD97="Muy Baja",AF97="Leve"),AND(AD97="Muy Baja",AF97="Menor"),AND(AD97="Baja",AF97="Leve")),"Bajo",IF(OR(AND(AD97="Muy baja",AF97="Moderado"),AND(AD97="Baja",AF97="Menor"),AND(AD97="Baja",AF97="Moderado"),AND(AD97="Media",AF97="Leve"),AND(AD97="Media",AF97="Menor"),AND(AD97="Media",AF97="Moderado"),AND(AD97="Alta",AF97="Leve"),AND(AD97="Alta",AF97="Menor")),"Moderado",IF(OR(AND(AD97="Muy Baja",AF97="Mayor"),AND(AD97="Baja",AF97="Mayor"),AND(AD97="Media",AF97="Mayor"),AND(AD97="Alta",AF97="Moderado"),AND(AD97="Alta",AF97="Mayor"),AND(AD97="Muy Alta",AF97="Leve"),AND(AD97="Muy Alta",AF97="Menor"),AND(AD97="Muy Alta",AF97="Moderado"),AND(AD97="Muy Alta",AF97="Mayor")),"Alto",IF(OR(AND(AD97="Muy Baja",AF97="Catastrófico"),AND(AD97="Baja",AF97="Catastrófico"),AND(AD97="Media",AF97="Catastrófico"),AND(AD97="Alta",AF97="Catastrófico"),AND(AD97="Muy Alta",AF97="Catastrófico")),"Extremo","")))),"")</f>
        <v>Extremo</v>
      </c>
      <c r="AI97" s="151" t="s">
        <v>117</v>
      </c>
      <c r="AJ97" s="196" t="s">
        <v>453</v>
      </c>
      <c r="AK97" s="186" t="s">
        <v>195</v>
      </c>
      <c r="AL97" s="188">
        <v>45293</v>
      </c>
      <c r="AM97" s="194">
        <v>45657</v>
      </c>
      <c r="AN97" s="184" t="s">
        <v>284</v>
      </c>
      <c r="AO97" s="190" t="s">
        <v>269</v>
      </c>
      <c r="AP97" s="260" t="s">
        <v>454</v>
      </c>
      <c r="AQ97" s="10"/>
      <c r="AR97" s="10"/>
      <c r="AS97" s="10"/>
      <c r="AT97" s="10"/>
      <c r="AU97" s="10"/>
      <c r="AV97" s="10"/>
      <c r="AW97" s="10"/>
      <c r="AX97" s="10"/>
      <c r="AY97" s="10"/>
      <c r="AZ97" s="10"/>
      <c r="BA97" s="10"/>
      <c r="BB97" s="10"/>
      <c r="BC97" s="10"/>
      <c r="BD97" s="10"/>
      <c r="BE97" s="10"/>
      <c r="BF97" s="10"/>
      <c r="BG97" s="10"/>
      <c r="BH97" s="10"/>
      <c r="BI97" s="10"/>
      <c r="BJ97" s="10"/>
      <c r="BK97" s="10"/>
      <c r="BL97" s="10"/>
      <c r="BM97" s="10"/>
      <c r="BN97" s="10"/>
      <c r="BO97" s="10"/>
      <c r="BP97" s="10"/>
      <c r="BQ97" s="10"/>
      <c r="BR97" s="10"/>
      <c r="BS97" s="10"/>
      <c r="BT97" s="10"/>
      <c r="BU97" s="10"/>
    </row>
    <row r="98" spans="1:73" ht="156.75" x14ac:dyDescent="0.2">
      <c r="A98" s="214"/>
      <c r="B98" s="241"/>
      <c r="C98" s="241"/>
      <c r="D98" s="183"/>
      <c r="E98" s="181"/>
      <c r="F98" s="181"/>
      <c r="G98" s="181"/>
      <c r="H98" s="197"/>
      <c r="I98" s="242"/>
      <c r="J98" s="217"/>
      <c r="K98" s="183"/>
      <c r="L98" s="185"/>
      <c r="M98" s="205"/>
      <c r="N98" s="206"/>
      <c r="O98" s="203"/>
      <c r="P98" s="239">
        <f>IF(NOT(ISERROR(MATCH(O98,_xlfn.ANCHORARRAY(#REF!),0))),#REF!&amp;"Por favor no seleccionar los criterios de impacto",O98)</f>
        <v>0</v>
      </c>
      <c r="Q98" s="205"/>
      <c r="R98" s="206"/>
      <c r="S98" s="207"/>
      <c r="T98" s="152">
        <v>2</v>
      </c>
      <c r="U98" s="166" t="s">
        <v>450</v>
      </c>
      <c r="V98" s="153" t="str">
        <f t="shared" si="131"/>
        <v>Probabilidad</v>
      </c>
      <c r="W98" s="154" t="s">
        <v>13</v>
      </c>
      <c r="X98" s="154" t="s">
        <v>9</v>
      </c>
      <c r="Y98" s="155" t="str">
        <f t="shared" ref="Y98:Y100" si="141">IF(AND(W98="Preventivo",X98="Automático"),"50%",IF(AND(W98="Preventivo",X98="Manual"),"40%",IF(AND(W98="Detectivo",X98="Automático"),"40%",IF(AND(W98="Detectivo",X98="Manual"),"30%",IF(AND(W98="Correctivo",X98="Automático"),"35%",IF(AND(W98="Correctivo",X98="Manual"),"25%",""))))))</f>
        <v>50%</v>
      </c>
      <c r="Z98" s="154" t="s">
        <v>18</v>
      </c>
      <c r="AA98" s="154" t="s">
        <v>21</v>
      </c>
      <c r="AB98" s="154" t="s">
        <v>112</v>
      </c>
      <c r="AC98" s="156">
        <f>IFERROR(IF(AND(V97="Probabilidad",V98="Probabilidad"),(AE97-(+AE97*Y98)),IF(V98="Probabilidad",(N97-(+N97*Y98)),IF(V98="Impacto",AE97,""))),"")</f>
        <v>0.15</v>
      </c>
      <c r="AD98" s="157" t="str">
        <f t="shared" ref="AD98:AD100" si="142">IFERROR(IF(AC98="","",IF(AC98&lt;=0.2,"Muy Baja",IF(AC98&lt;=0.4,"Baja",IF(AC98&lt;=0.6,"Media",IF(AC98&lt;=0.8,"Alta","Muy Alta"))))),"")</f>
        <v>Muy Baja</v>
      </c>
      <c r="AE98" s="158">
        <f t="shared" ref="AE98:AE100" si="143">+AC98</f>
        <v>0.15</v>
      </c>
      <c r="AF98" s="157" t="str">
        <f t="shared" ref="AF98:AF100" si="144">IFERROR(IF(AG98="","",IF(AG98&lt;=0.2,"Leve",IF(AG98&lt;=0.4,"Menor",IF(AG98&lt;=0.6,"Moderado",IF(AG98&lt;=0.8,"Mayor","Catastrófico"))))),"")</f>
        <v>Catastrófico</v>
      </c>
      <c r="AG98" s="158">
        <f>IFERROR(IF(AND(V97="Impacto",V98="Impacto"),(AG97-(+AG97*Y98)),IF(V98="Impacto",(R97-(+R97*Y98)),IF(V98="Probabilidad",AG97,""))),"")</f>
        <v>1</v>
      </c>
      <c r="AH98" s="159" t="str">
        <f t="shared" ref="AH98:AH99" si="145">IFERROR(IF(OR(AND(AD98="Muy Baja",AF98="Leve"),AND(AD98="Muy Baja",AF98="Menor"),AND(AD98="Baja",AF98="Leve")),"Bajo",IF(OR(AND(AD98="Muy baja",AF98="Moderado"),AND(AD98="Baja",AF98="Menor"),AND(AD98="Baja",AF98="Moderado"),AND(AD98="Media",AF98="Leve"),AND(AD98="Media",AF98="Menor"),AND(AD98="Media",AF98="Moderado"),AND(AD98="Alta",AF98="Leve"),AND(AD98="Alta",AF98="Menor")),"Moderado",IF(OR(AND(AD98="Muy Baja",AF98="Mayor"),AND(AD98="Baja",AF98="Mayor"),AND(AD98="Media",AF98="Mayor"),AND(AD98="Alta",AF98="Moderado"),AND(AD98="Alta",AF98="Mayor"),AND(AD98="Muy Alta",AF98="Leve"),AND(AD98="Muy Alta",AF98="Menor"),AND(AD98="Muy Alta",AF98="Moderado"),AND(AD98="Muy Alta",AF98="Mayor")),"Alto",IF(OR(AND(AD98="Muy Baja",AF98="Catastrófico"),AND(AD98="Baja",AF98="Catastrófico"),AND(AD98="Media",AF98="Catastrófico"),AND(AD98="Alta",AF98="Catastrófico"),AND(AD98="Muy Alta",AF98="Catastrófico")),"Extremo","")))),"")</f>
        <v>Extremo</v>
      </c>
      <c r="AI98" s="161" t="s">
        <v>117</v>
      </c>
      <c r="AJ98" s="197"/>
      <c r="AK98" s="185"/>
      <c r="AL98" s="187"/>
      <c r="AM98" s="195"/>
      <c r="AN98" s="183"/>
      <c r="AO98" s="190"/>
      <c r="AP98" s="261"/>
    </row>
    <row r="99" spans="1:73" ht="156.75" x14ac:dyDescent="0.2">
      <c r="A99" s="214"/>
      <c r="B99" s="241"/>
      <c r="C99" s="241"/>
      <c r="D99" s="183"/>
      <c r="E99" s="181"/>
      <c r="F99" s="181"/>
      <c r="G99" s="181"/>
      <c r="H99" s="197"/>
      <c r="I99" s="242"/>
      <c r="J99" s="217"/>
      <c r="K99" s="183"/>
      <c r="L99" s="185"/>
      <c r="M99" s="205"/>
      <c r="N99" s="206"/>
      <c r="O99" s="203"/>
      <c r="P99" s="239">
        <f>IF(NOT(ISERROR(MATCH(O99,_xlfn.ANCHORARRAY(#REF!),0))),#REF!&amp;"Por favor no seleccionar los criterios de impacto",O99)</f>
        <v>0</v>
      </c>
      <c r="Q99" s="205"/>
      <c r="R99" s="206"/>
      <c r="S99" s="207"/>
      <c r="T99" s="152">
        <v>3</v>
      </c>
      <c r="U99" s="166" t="s">
        <v>451</v>
      </c>
      <c r="V99" s="153" t="str">
        <f t="shared" si="131"/>
        <v>Probabilidad</v>
      </c>
      <c r="W99" s="154" t="s">
        <v>14</v>
      </c>
      <c r="X99" s="154" t="s">
        <v>9</v>
      </c>
      <c r="Y99" s="155" t="str">
        <f t="shared" si="141"/>
        <v>40%</v>
      </c>
      <c r="Z99" s="154" t="s">
        <v>18</v>
      </c>
      <c r="AA99" s="154" t="s">
        <v>21</v>
      </c>
      <c r="AB99" s="154" t="s">
        <v>112</v>
      </c>
      <c r="AC99" s="156">
        <f>IFERROR(IF(AND(V98="Probabilidad",V99="Probabilidad"),(AE98-(+AE98*Y99)),IF(AND(V98="Impacto",V99="Probabilidad"),(AE97-(+AE97*Y99)),IF(V99="Impacto",AE98,""))),"")</f>
        <v>0.09</v>
      </c>
      <c r="AD99" s="157" t="str">
        <f t="shared" si="142"/>
        <v>Muy Baja</v>
      </c>
      <c r="AE99" s="158">
        <f t="shared" si="143"/>
        <v>0.09</v>
      </c>
      <c r="AF99" s="157" t="str">
        <f t="shared" si="144"/>
        <v>Catastrófico</v>
      </c>
      <c r="AG99" s="158">
        <f>IFERROR(IF(AND(V98="Impacto",V99="Impacto"),(AG98-(+AG98*Y99)),IF(AND(V98="Probabilidad",V99="Impacto"),(AG97-(+AG97*Y99)),IF(V99="Probabilidad",AG98,""))),"")</f>
        <v>1</v>
      </c>
      <c r="AH99" s="159" t="str">
        <f t="shared" si="145"/>
        <v>Extremo</v>
      </c>
      <c r="AI99" s="161" t="s">
        <v>117</v>
      </c>
      <c r="AJ99" s="197"/>
      <c r="AK99" s="185"/>
      <c r="AL99" s="187"/>
      <c r="AM99" s="195"/>
      <c r="AN99" s="183"/>
      <c r="AO99" s="190"/>
      <c r="AP99" s="261"/>
    </row>
    <row r="100" spans="1:73" ht="114" x14ac:dyDescent="0.2">
      <c r="A100" s="214"/>
      <c r="B100" s="241"/>
      <c r="C100" s="241"/>
      <c r="D100" s="183"/>
      <c r="E100" s="181"/>
      <c r="F100" s="181"/>
      <c r="G100" s="181"/>
      <c r="H100" s="197"/>
      <c r="I100" s="242"/>
      <c r="J100" s="217"/>
      <c r="K100" s="183"/>
      <c r="L100" s="185"/>
      <c r="M100" s="205"/>
      <c r="N100" s="206"/>
      <c r="O100" s="203"/>
      <c r="P100" s="239">
        <f>IF(NOT(ISERROR(MATCH(O100,_xlfn.ANCHORARRAY(#REF!),0))),#REF!&amp;"Por favor no seleccionar los criterios de impacto",O100)</f>
        <v>0</v>
      </c>
      <c r="Q100" s="205"/>
      <c r="R100" s="206"/>
      <c r="S100" s="207"/>
      <c r="T100" s="152">
        <v>4</v>
      </c>
      <c r="U100" s="160" t="s">
        <v>452</v>
      </c>
      <c r="V100" s="153" t="str">
        <f t="shared" ref="V100" si="146">IF(OR(W100="Preventivo",W100="Detectivo"),"Probabilidad",IF(W100="Correctivo","Impacto",""))</f>
        <v>Impacto</v>
      </c>
      <c r="W100" s="154" t="s">
        <v>15</v>
      </c>
      <c r="X100" s="154" t="s">
        <v>9</v>
      </c>
      <c r="Y100" s="155" t="str">
        <f t="shared" si="141"/>
        <v>35%</v>
      </c>
      <c r="Z100" s="154" t="s">
        <v>18</v>
      </c>
      <c r="AA100" s="154"/>
      <c r="AB100" s="154" t="s">
        <v>112</v>
      </c>
      <c r="AC100" s="156">
        <f t="shared" ref="AC100" si="147">IFERROR(IF(AND(V99="Probabilidad",V100="Probabilidad"),(AE99-(+AE99*Y100)),IF(AND(V99="Impacto",V100="Probabilidad"),(AE98-(+AE98*Y100)),IF(V100="Impacto",AE99,""))),"")</f>
        <v>0.09</v>
      </c>
      <c r="AD100" s="157" t="str">
        <f t="shared" si="142"/>
        <v>Muy Baja</v>
      </c>
      <c r="AE100" s="158">
        <f t="shared" si="143"/>
        <v>0.09</v>
      </c>
      <c r="AF100" s="157" t="str">
        <f t="shared" si="144"/>
        <v>Mayor</v>
      </c>
      <c r="AG100" s="158">
        <f t="shared" ref="AG100" si="148">IFERROR(IF(AND(V99="Impacto",V100="Impacto"),(AG99-(+AG99*Y100)),IF(AND(V99="Probabilidad",V100="Impacto"),(AG98-(+AG98*Y100)),IF(V100="Probabilidad",AG99,""))),"")</f>
        <v>0.65</v>
      </c>
      <c r="AH100" s="159" t="str">
        <f>IFERROR(IF(OR(AND(AD100="Muy Baja",AF100="Leve"),AND(AD100="Muy Baja",AF100="Menor"),AND(AD100="Baja",AF100="Leve")),"Bajo",IF(OR(AND(AD100="Muy baja",AF100="Moderado"),AND(AD100="Baja",AF100="Menor"),AND(AD100="Baja",AF100="Moderado"),AND(AD100="Media",AF100="Leve"),AND(AD100="Media",AF100="Menor"),AND(AD100="Media",AF100="Moderado"),AND(AD100="Alta",AF100="Leve"),AND(AD100="Alta",AF100="Menor")),"Moderado",IF(OR(AND(AD100="Muy Baja",AF100="Mayor"),AND(AD100="Baja",AF100="Mayor"),AND(AD100="Media",AF100="Mayor"),AND(AD100="Alta",AF100="Moderado"),AND(AD100="Alta",AF100="Mayor"),AND(AD100="Muy Alta",AF100="Leve"),AND(AD100="Muy Alta",AF100="Menor"),AND(AD100="Muy Alta",AF100="Moderado"),AND(AD100="Muy Alta",AF100="Mayor")),"Alto",IF(OR(AND(AD100="Muy Baja",AF100="Catastrófico"),AND(AD100="Baja",AF100="Catastrófico"),AND(AD100="Media",AF100="Catastrófico"),AND(AD100="Alta",AF100="Catastrófico"),AND(AD100="Muy Alta",AF100="Catastrófico")),"Extremo","")))),"")</f>
        <v>Alto</v>
      </c>
      <c r="AI100" s="161" t="s">
        <v>117</v>
      </c>
      <c r="AJ100" s="257"/>
      <c r="AK100" s="199"/>
      <c r="AL100" s="258"/>
      <c r="AM100" s="259"/>
      <c r="AN100" s="226"/>
      <c r="AO100" s="190"/>
      <c r="AP100" s="261"/>
    </row>
    <row r="101" spans="1:73" ht="96.75" customHeight="1" x14ac:dyDescent="0.2">
      <c r="A101" s="214">
        <v>17</v>
      </c>
      <c r="B101" s="243" t="s">
        <v>246</v>
      </c>
      <c r="C101" s="243" t="s">
        <v>443</v>
      </c>
      <c r="D101" s="184" t="s">
        <v>268</v>
      </c>
      <c r="E101" s="181" t="s">
        <v>455</v>
      </c>
      <c r="F101" s="181" t="s">
        <v>456</v>
      </c>
      <c r="G101" s="242" t="s">
        <v>457</v>
      </c>
      <c r="H101" s="197" t="s">
        <v>458</v>
      </c>
      <c r="I101" s="242" t="s">
        <v>459</v>
      </c>
      <c r="J101" s="217" t="s">
        <v>230</v>
      </c>
      <c r="K101" s="183" t="s">
        <v>227</v>
      </c>
      <c r="L101" s="185">
        <v>120</v>
      </c>
      <c r="M101" s="205" t="str">
        <f t="shared" ref="M101" si="149">IF(L101&lt;=0,"",IF(L101&lt;=2,"Muy Baja",IF(L101&lt;=24,"Baja",IF(L101&lt;=500,"Media",IF(L101&lt;=5000,"Alta","Muy Alta")))))</f>
        <v>Media</v>
      </c>
      <c r="N101" s="206">
        <f t="shared" ref="N101" si="150">IF(M101="","",IF(M101="Muy Baja",0.2,IF(M101="Baja",0.4,IF(M101="Media",0.6,IF(M101="Alta",0.8,IF(M101="Muy Alta",1,))))))</f>
        <v>0.6</v>
      </c>
      <c r="O101" s="203" t="s">
        <v>129</v>
      </c>
      <c r="P101" s="239" t="str">
        <f>IF(NOT(ISERROR(MATCH(O101,'Tabla Impacto'!$B$221:$B$223,0))),'Tabla Impacto'!$F$223&amp;"Por favor no seleccionar los criterios de impacto(Afectación Económica o presupuestal y Pérdida Reputacional)",O101)</f>
        <v xml:space="preserve">     Entre 10 y 50 SMLMV </v>
      </c>
      <c r="Q101" s="205" t="str">
        <f>IF(OR(P101='Tabla Impacto'!$C$11,P101='Tabla Impacto'!$D$11),"Leve",IF(OR(P101='Tabla Impacto'!$C$12,P101='Tabla Impacto'!$D$12),"Menor",IF(OR(P101='Tabla Impacto'!$C$13,P101='Tabla Impacto'!$D$13),"Moderado",IF(OR(P101='Tabla Impacto'!$C$14,P101='Tabla Impacto'!$D$14),"Mayor",IF(OR(P101='Tabla Impacto'!$C$15,P101='Tabla Impacto'!$D$15),"Catastrófico","")))))</f>
        <v>Menor</v>
      </c>
      <c r="R101" s="206">
        <f t="shared" ref="R101" si="151">IF(Q101="","",IF(Q101="Leve",0.2,IF(Q101="Menor",0.4,IF(Q101="Moderado",0.6,IF(Q101="Mayor",0.8,IF(Q101="Catastrófico",1,))))))</f>
        <v>0.4</v>
      </c>
      <c r="S101" s="207" t="str">
        <f t="shared" ref="S101" si="152">IF(OR(AND(M101="Muy Baja",Q101="Leve"),AND(M101="Muy Baja",Q101="Menor"),AND(M101="Baja",Q101="Leve")),"Bajo",IF(OR(AND(M101="Muy baja",Q101="Moderado"),AND(M101="Baja",Q101="Menor"),AND(M101="Baja",Q101="Moderado"),AND(M101="Media",Q101="Leve"),AND(M101="Media",Q101="Menor"),AND(M101="Media",Q101="Moderado"),AND(M101="Alta",Q101="Leve"),AND(M101="Alta",Q101="Menor")),"Moderado",IF(OR(AND(M101="Muy Baja",Q101="Mayor"),AND(M101="Baja",Q101="Mayor"),AND(M101="Media",Q101="Mayor"),AND(M101="Alta",Q101="Moderado"),AND(M101="Alta",Q101="Mayor"),AND(M101="Muy Alta",Q101="Leve"),AND(M101="Muy Alta",Q101="Menor"),AND(M101="Muy Alta",Q101="Moderado"),AND(M101="Muy Alta",Q101="Mayor")),"Alto",IF(OR(AND(M101="Muy Baja",Q101="Catastrófico"),AND(M101="Baja",Q101="Catastrófico"),AND(M101="Media",Q101="Catastrófico"),AND(M101="Alta",Q101="Catastrófico"),AND(M101="Muy Alta",Q101="Catastrófico")),"Extremo",""))))</f>
        <v>Moderado</v>
      </c>
      <c r="T101" s="152">
        <v>1</v>
      </c>
      <c r="U101" s="141" t="s">
        <v>460</v>
      </c>
      <c r="V101" s="153" t="str">
        <f t="shared" ref="V101:V107" si="153">IF(OR(W101="Preventivo",W101="Detectivo"),"Probabilidad",IF(W101="Correctivo","Impacto",""))</f>
        <v>Probabilidad</v>
      </c>
      <c r="W101" s="154" t="s">
        <v>13</v>
      </c>
      <c r="X101" s="154" t="s">
        <v>8</v>
      </c>
      <c r="Y101" s="155" t="str">
        <f>IF(AND(W101="Preventivo",X101="Automático"),"50%",IF(AND(W101="Preventivo",X101="Manual"),"40%",IF(AND(W101="Detectivo",X101="Automático"),"40%",IF(AND(W101="Detectivo",X101="Manual"),"30%",IF(AND(W101="Correctivo",X101="Automático"),"35%",IF(AND(W101="Correctivo",X101="Manual"),"25%",""))))))</f>
        <v>40%</v>
      </c>
      <c r="Z101" s="154" t="s">
        <v>18</v>
      </c>
      <c r="AA101" s="154" t="s">
        <v>21</v>
      </c>
      <c r="AB101" s="154" t="s">
        <v>112</v>
      </c>
      <c r="AC101" s="156">
        <f>IFERROR(IF(V101="Probabilidad",(N101-(+N101*Y101)),IF(V101="Impacto",N101,"")),"")</f>
        <v>0.36</v>
      </c>
      <c r="AD101" s="157" t="str">
        <f>IFERROR(IF(AC101="","",IF(AC101&lt;=0.2,"Muy Baja",IF(AC101&lt;=0.4,"Baja",IF(AC101&lt;=0.6,"Media",IF(AC101&lt;=0.8,"Alta","Muy Alta"))))),"")</f>
        <v>Baja</v>
      </c>
      <c r="AE101" s="158">
        <f>+AC101</f>
        <v>0.36</v>
      </c>
      <c r="AF101" s="157" t="str">
        <f>IFERROR(IF(AG101="","",IF(AG101&lt;=0.2,"Leve",IF(AG101&lt;=0.4,"Menor",IF(AG101&lt;=0.6,"Moderado",IF(AG101&lt;=0.8,"Mayor","Catastrófico"))))),"")</f>
        <v>Menor</v>
      </c>
      <c r="AG101" s="158">
        <f>IFERROR(IF(V101="Impacto",(R101-(+R101*Y101)),IF(V101="Probabilidad",R101,"")),"")</f>
        <v>0.4</v>
      </c>
      <c r="AH101" s="159" t="str">
        <f>IFERROR(IF(OR(AND(AD101="Muy Baja",AF101="Leve"),AND(AD101="Muy Baja",AF101="Menor"),AND(AD101="Baja",AF101="Leve")),"Bajo",IF(OR(AND(AD101="Muy baja",AF101="Moderado"),AND(AD101="Baja",AF101="Menor"),AND(AD101="Baja",AF101="Moderado"),AND(AD101="Media",AF101="Leve"),AND(AD101="Media",AF101="Menor"),AND(AD101="Media",AF101="Moderado"),AND(AD101="Alta",AF101="Leve"),AND(AD101="Alta",AF101="Menor")),"Moderado",IF(OR(AND(AD101="Muy Baja",AF101="Mayor"),AND(AD101="Baja",AF101="Mayor"),AND(AD101="Media",AF101="Mayor"),AND(AD101="Alta",AF101="Moderado"),AND(AD101="Alta",AF101="Mayor"),AND(AD101="Muy Alta",AF101="Leve"),AND(AD101="Muy Alta",AF101="Menor"),AND(AD101="Muy Alta",AF101="Moderado"),AND(AD101="Muy Alta",AF101="Mayor")),"Alto",IF(OR(AND(AD101="Muy Baja",AF101="Catastrófico"),AND(AD101="Baja",AF101="Catastrófico"),AND(AD101="Media",AF101="Catastrófico"),AND(AD101="Alta",AF101="Catastrófico"),AND(AD101="Muy Alta",AF101="Catastrófico")),"Extremo","")))),"")</f>
        <v>Moderado</v>
      </c>
      <c r="AI101" s="161" t="s">
        <v>30</v>
      </c>
      <c r="AJ101" s="197" t="s">
        <v>461</v>
      </c>
      <c r="AK101" s="185" t="s">
        <v>195</v>
      </c>
      <c r="AL101" s="187">
        <v>45293</v>
      </c>
      <c r="AM101" s="195">
        <v>45657</v>
      </c>
      <c r="AN101" s="183" t="s">
        <v>284</v>
      </c>
      <c r="AO101" s="253" t="s">
        <v>269</v>
      </c>
      <c r="AP101" s="255" t="s">
        <v>462</v>
      </c>
      <c r="AQ101" s="10"/>
      <c r="AR101" s="10"/>
      <c r="AS101" s="10"/>
      <c r="AT101" s="10"/>
      <c r="AU101" s="10"/>
      <c r="AV101" s="10"/>
      <c r="AW101" s="10"/>
      <c r="AX101" s="10"/>
      <c r="AY101" s="10"/>
      <c r="AZ101" s="10"/>
      <c r="BA101" s="10"/>
      <c r="BB101" s="10"/>
      <c r="BC101" s="10"/>
      <c r="BD101" s="10"/>
      <c r="BE101" s="10"/>
      <c r="BF101" s="10"/>
      <c r="BG101" s="10"/>
      <c r="BH101" s="10"/>
      <c r="BI101" s="10"/>
      <c r="BJ101" s="10"/>
      <c r="BK101" s="10"/>
      <c r="BL101" s="10"/>
      <c r="BM101" s="10"/>
      <c r="BN101" s="10"/>
      <c r="BO101" s="10"/>
      <c r="BP101" s="10"/>
      <c r="BQ101" s="10"/>
      <c r="BR101" s="10"/>
      <c r="BS101" s="10"/>
      <c r="BT101" s="10"/>
      <c r="BU101" s="10"/>
    </row>
    <row r="102" spans="1:73" ht="114" x14ac:dyDescent="0.2">
      <c r="A102" s="214"/>
      <c r="B102" s="241"/>
      <c r="C102" s="241"/>
      <c r="D102" s="183"/>
      <c r="E102" s="181"/>
      <c r="F102" s="181"/>
      <c r="G102" s="242"/>
      <c r="H102" s="197"/>
      <c r="I102" s="242"/>
      <c r="J102" s="217"/>
      <c r="K102" s="183"/>
      <c r="L102" s="185"/>
      <c r="M102" s="205"/>
      <c r="N102" s="206"/>
      <c r="O102" s="203"/>
      <c r="P102" s="239">
        <f>IF(NOT(ISERROR(MATCH(O102,_xlfn.ANCHORARRAY(#REF!),0))),#REF!&amp;"Por favor no seleccionar los criterios de impacto",O102)</f>
        <v>0</v>
      </c>
      <c r="Q102" s="205"/>
      <c r="R102" s="206"/>
      <c r="S102" s="207"/>
      <c r="T102" s="152">
        <v>2</v>
      </c>
      <c r="U102" s="141" t="s">
        <v>463</v>
      </c>
      <c r="V102" s="153" t="str">
        <f t="shared" si="153"/>
        <v>Probabilidad</v>
      </c>
      <c r="W102" s="154" t="s">
        <v>13</v>
      </c>
      <c r="X102" s="154" t="s">
        <v>8</v>
      </c>
      <c r="Y102" s="155" t="str">
        <f t="shared" ref="Y102" si="154">IF(AND(W102="Preventivo",X102="Automático"),"50%",IF(AND(W102="Preventivo",X102="Manual"),"40%",IF(AND(W102="Detectivo",X102="Automático"),"40%",IF(AND(W102="Detectivo",X102="Manual"),"30%",IF(AND(W102="Correctivo",X102="Automático"),"35%",IF(AND(W102="Correctivo",X102="Manual"),"25%",""))))))</f>
        <v>40%</v>
      </c>
      <c r="Z102" s="154" t="s">
        <v>18</v>
      </c>
      <c r="AA102" s="154" t="s">
        <v>21</v>
      </c>
      <c r="AB102" s="154" t="s">
        <v>112</v>
      </c>
      <c r="AC102" s="156">
        <f>IFERROR(IF(AND(V101="Probabilidad",V102="Probabilidad"),(AE101-(+AE101*Y102)),IF(V102="Probabilidad",(N101-(+N101*Y102)),IF(V102="Impacto",AE101,""))),"")</f>
        <v>0.216</v>
      </c>
      <c r="AD102" s="157" t="str">
        <f t="shared" ref="AD102" si="155">IFERROR(IF(AC102="","",IF(AC102&lt;=0.2,"Muy Baja",IF(AC102&lt;=0.4,"Baja",IF(AC102&lt;=0.6,"Media",IF(AC102&lt;=0.8,"Alta","Muy Alta"))))),"")</f>
        <v>Baja</v>
      </c>
      <c r="AE102" s="158">
        <f t="shared" ref="AE102" si="156">+AC102</f>
        <v>0.216</v>
      </c>
      <c r="AF102" s="157" t="str">
        <f t="shared" ref="AF102" si="157">IFERROR(IF(AG102="","",IF(AG102&lt;=0.2,"Leve",IF(AG102&lt;=0.4,"Menor",IF(AG102&lt;=0.6,"Moderado",IF(AG102&lt;=0.8,"Mayor","Catastrófico"))))),"")</f>
        <v>Menor</v>
      </c>
      <c r="AG102" s="158">
        <f>IFERROR(IF(AND(V101="Impacto",V102="Impacto"),(AG101-(+AG101*Y102)),IF(V102="Impacto",(R101-(+R101*Y102)),IF(V102="Probabilidad",AG101,""))),"")</f>
        <v>0.4</v>
      </c>
      <c r="AH102" s="159" t="str">
        <f t="shared" ref="AH102" si="158">IFERROR(IF(OR(AND(AD102="Muy Baja",AF102="Leve"),AND(AD102="Muy Baja",AF102="Menor"),AND(AD102="Baja",AF102="Leve")),"Bajo",IF(OR(AND(AD102="Muy baja",AF102="Moderado"),AND(AD102="Baja",AF102="Menor"),AND(AD102="Baja",AF102="Moderado"),AND(AD102="Media",AF102="Leve"),AND(AD102="Media",AF102="Menor"),AND(AD102="Media",AF102="Moderado"),AND(AD102="Alta",AF102="Leve"),AND(AD102="Alta",AF102="Menor")),"Moderado",IF(OR(AND(AD102="Muy Baja",AF102="Mayor"),AND(AD102="Baja",AF102="Mayor"),AND(AD102="Media",AF102="Mayor"),AND(AD102="Alta",AF102="Moderado"),AND(AD102="Alta",AF102="Mayor"),AND(AD102="Muy Alta",AF102="Leve"),AND(AD102="Muy Alta",AF102="Menor"),AND(AD102="Muy Alta",AF102="Moderado"),AND(AD102="Muy Alta",AF102="Mayor")),"Alto",IF(OR(AND(AD102="Muy Baja",AF102="Catastrófico"),AND(AD102="Baja",AF102="Catastrófico"),AND(AD102="Media",AF102="Catastrófico"),AND(AD102="Alta",AF102="Catastrófico"),AND(AD102="Muy Alta",AF102="Catastrófico")),"Extremo","")))),"")</f>
        <v>Moderado</v>
      </c>
      <c r="AI102" s="161" t="s">
        <v>30</v>
      </c>
      <c r="AJ102" s="197"/>
      <c r="AK102" s="185"/>
      <c r="AL102" s="187"/>
      <c r="AM102" s="195"/>
      <c r="AN102" s="183"/>
      <c r="AO102" s="254"/>
      <c r="AP102" s="256"/>
    </row>
    <row r="103" spans="1:73" ht="103.5" customHeight="1" x14ac:dyDescent="0.2">
      <c r="A103" s="214">
        <v>18</v>
      </c>
      <c r="B103" s="243" t="s">
        <v>246</v>
      </c>
      <c r="C103" s="243" t="s">
        <v>443</v>
      </c>
      <c r="D103" s="184" t="s">
        <v>268</v>
      </c>
      <c r="E103" s="181" t="s">
        <v>464</v>
      </c>
      <c r="F103" s="181" t="s">
        <v>465</v>
      </c>
      <c r="G103" s="242" t="s">
        <v>466</v>
      </c>
      <c r="H103" s="181" t="s">
        <v>467</v>
      </c>
      <c r="I103" s="242" t="s">
        <v>468</v>
      </c>
      <c r="J103" s="217" t="s">
        <v>230</v>
      </c>
      <c r="K103" s="183" t="s">
        <v>227</v>
      </c>
      <c r="L103" s="185">
        <v>2</v>
      </c>
      <c r="M103" s="205" t="str">
        <f t="shared" ref="M103" si="159">IF(L103&lt;=0,"",IF(L103&lt;=2,"Muy Baja",IF(L103&lt;=24,"Baja",IF(L103&lt;=500,"Media",IF(L103&lt;=5000,"Alta","Muy Alta")))))</f>
        <v>Muy Baja</v>
      </c>
      <c r="N103" s="206">
        <f t="shared" ref="N103" si="160">IF(M103="","",IF(M103="Muy Baja",0.2,IF(M103="Baja",0.4,IF(M103="Media",0.6,IF(M103="Alta",0.8,IF(M103="Muy Alta",1,))))))</f>
        <v>0.2</v>
      </c>
      <c r="O103" s="203" t="s">
        <v>131</v>
      </c>
      <c r="P103" s="239" t="str">
        <f>IF(NOT(ISERROR(MATCH(O103,'Tabla Impacto'!$B$221:$B$223,0))),'Tabla Impacto'!$F$223&amp;"Por favor no seleccionar los criterios de impacto(Afectación Económica o presupuestal y Pérdida Reputacional)",O103)</f>
        <v xml:space="preserve">     Mayor a 500 SMLMV </v>
      </c>
      <c r="Q103" s="205" t="str">
        <f>IF(OR(P103='Tabla Impacto'!$C$11,P103='Tabla Impacto'!$D$11),"Leve",IF(OR(P103='Tabla Impacto'!$C$12,P103='Tabla Impacto'!$D$12),"Menor",IF(OR(P103='Tabla Impacto'!$C$13,P103='Tabla Impacto'!$D$13),"Moderado",IF(OR(P103='Tabla Impacto'!$C$14,P103='Tabla Impacto'!$D$14),"Mayor",IF(OR(P103='Tabla Impacto'!$C$15,P103='Tabla Impacto'!$D$15),"Catastrófico","")))))</f>
        <v>Catastrófico</v>
      </c>
      <c r="R103" s="206">
        <f t="shared" ref="R103" si="161">IF(Q103="","",IF(Q103="Leve",0.2,IF(Q103="Menor",0.4,IF(Q103="Moderado",0.6,IF(Q103="Mayor",0.8,IF(Q103="Catastrófico",1,))))))</f>
        <v>1</v>
      </c>
      <c r="S103" s="207" t="str">
        <f t="shared" ref="S103" si="162">IF(OR(AND(M103="Muy Baja",Q103="Leve"),AND(M103="Muy Baja",Q103="Menor"),AND(M103="Baja",Q103="Leve")),"Bajo",IF(OR(AND(M103="Muy baja",Q103="Moderado"),AND(M103="Baja",Q103="Menor"),AND(M103="Baja",Q103="Moderado"),AND(M103="Media",Q103="Leve"),AND(M103="Media",Q103="Menor"),AND(M103="Media",Q103="Moderado"),AND(M103="Alta",Q103="Leve"),AND(M103="Alta",Q103="Menor")),"Moderado",IF(OR(AND(M103="Muy Baja",Q103="Mayor"),AND(M103="Baja",Q103="Mayor"),AND(M103="Media",Q103="Mayor"),AND(M103="Alta",Q103="Moderado"),AND(M103="Alta",Q103="Mayor"),AND(M103="Muy Alta",Q103="Leve"),AND(M103="Muy Alta",Q103="Menor"),AND(M103="Muy Alta",Q103="Moderado"),AND(M103="Muy Alta",Q103="Mayor")),"Alto",IF(OR(AND(M103="Muy Baja",Q103="Catastrófico"),AND(M103="Baja",Q103="Catastrófico"),AND(M103="Media",Q103="Catastrófico"),AND(M103="Alta",Q103="Catastrófico"),AND(M103="Muy Alta",Q103="Catastrófico")),"Extremo",""))))</f>
        <v>Extremo</v>
      </c>
      <c r="T103" s="152">
        <v>1</v>
      </c>
      <c r="U103" s="141" t="s">
        <v>469</v>
      </c>
      <c r="V103" s="153" t="str">
        <f t="shared" si="153"/>
        <v>Probabilidad</v>
      </c>
      <c r="W103" s="154" t="s">
        <v>13</v>
      </c>
      <c r="X103" s="154" t="s">
        <v>8</v>
      </c>
      <c r="Y103" s="155" t="str">
        <f>IF(AND(W103="Preventivo",X103="Automático"),"50%",IF(AND(W103="Preventivo",X103="Manual"),"40%",IF(AND(W103="Detectivo",X103="Automático"),"40%",IF(AND(W103="Detectivo",X103="Manual"),"30%",IF(AND(W103="Correctivo",X103="Automático"),"35%",IF(AND(W103="Correctivo",X103="Manual"),"25%",""))))))</f>
        <v>40%</v>
      </c>
      <c r="Z103" s="154" t="s">
        <v>18</v>
      </c>
      <c r="AA103" s="154" t="s">
        <v>21</v>
      </c>
      <c r="AB103" s="154" t="s">
        <v>112</v>
      </c>
      <c r="AC103" s="156">
        <f>IFERROR(IF(V103="Probabilidad",(N103-(+N103*Y103)),IF(V103="Impacto",N103,"")),"")</f>
        <v>0.12</v>
      </c>
      <c r="AD103" s="157" t="str">
        <f>IFERROR(IF(AC103="","",IF(AC103&lt;=0.2,"Muy Baja",IF(AC103&lt;=0.4,"Baja",IF(AC103&lt;=0.6,"Media",IF(AC103&lt;=0.8,"Alta","Muy Alta"))))),"")</f>
        <v>Muy Baja</v>
      </c>
      <c r="AE103" s="158">
        <f>+AC103</f>
        <v>0.12</v>
      </c>
      <c r="AF103" s="157" t="str">
        <f>IFERROR(IF(AG103="","",IF(AG103&lt;=0.2,"Leve",IF(AG103&lt;=0.4,"Menor",IF(AG103&lt;=0.6,"Moderado",IF(AG103&lt;=0.8,"Mayor","Catastrófico"))))),"")</f>
        <v>Catastrófico</v>
      </c>
      <c r="AG103" s="158">
        <f>IFERROR(IF(V103="Impacto",(R103-(+R103*Y103)),IF(V103="Probabilidad",R103,"")),"")</f>
        <v>1</v>
      </c>
      <c r="AH103" s="159" t="str">
        <f>IFERROR(IF(OR(AND(AD103="Muy Baja",AF103="Leve"),AND(AD103="Muy Baja",AF103="Menor"),AND(AD103="Baja",AF103="Leve")),"Bajo",IF(OR(AND(AD103="Muy baja",AF103="Moderado"),AND(AD103="Baja",AF103="Menor"),AND(AD103="Baja",AF103="Moderado"),AND(AD103="Media",AF103="Leve"),AND(AD103="Media",AF103="Menor"),AND(AD103="Media",AF103="Moderado"),AND(AD103="Alta",AF103="Leve"),AND(AD103="Alta",AF103="Menor")),"Moderado",IF(OR(AND(AD103="Muy Baja",AF103="Mayor"),AND(AD103="Baja",AF103="Mayor"),AND(AD103="Media",AF103="Mayor"),AND(AD103="Alta",AF103="Moderado"),AND(AD103="Alta",AF103="Mayor"),AND(AD103="Muy Alta",AF103="Leve"),AND(AD103="Muy Alta",AF103="Menor"),AND(AD103="Muy Alta",AF103="Moderado"),AND(AD103="Muy Alta",AF103="Mayor")),"Alto",IF(OR(AND(AD103="Muy Baja",AF103="Catastrófico"),AND(AD103="Baja",AF103="Catastrófico"),AND(AD103="Media",AF103="Catastrófico"),AND(AD103="Alta",AF103="Catastrófico"),AND(AD103="Muy Alta",AF103="Catastrófico")),"Extremo","")))),"")</f>
        <v>Extremo</v>
      </c>
      <c r="AI103" s="161" t="s">
        <v>117</v>
      </c>
      <c r="AJ103" s="197" t="s">
        <v>470</v>
      </c>
      <c r="AK103" s="185" t="s">
        <v>195</v>
      </c>
      <c r="AL103" s="187">
        <v>45293</v>
      </c>
      <c r="AM103" s="195">
        <v>45657</v>
      </c>
      <c r="AN103" s="183" t="s">
        <v>284</v>
      </c>
      <c r="AO103" s="253" t="s">
        <v>269</v>
      </c>
      <c r="AP103" s="255" t="s">
        <v>471</v>
      </c>
      <c r="AQ103" s="10"/>
      <c r="AR103" s="10"/>
      <c r="AS103" s="10"/>
      <c r="AT103" s="10"/>
      <c r="AU103" s="10"/>
      <c r="AV103" s="10"/>
      <c r="AW103" s="10"/>
      <c r="AX103" s="10"/>
      <c r="AY103" s="10"/>
      <c r="AZ103" s="10"/>
      <c r="BA103" s="10"/>
      <c r="BB103" s="10"/>
      <c r="BC103" s="10"/>
      <c r="BD103" s="10"/>
      <c r="BE103" s="10"/>
      <c r="BF103" s="10"/>
      <c r="BG103" s="10"/>
      <c r="BH103" s="10"/>
      <c r="BI103" s="10"/>
      <c r="BJ103" s="10"/>
      <c r="BK103" s="10"/>
      <c r="BL103" s="10"/>
      <c r="BM103" s="10"/>
      <c r="BN103" s="10"/>
      <c r="BO103" s="10"/>
      <c r="BP103" s="10"/>
      <c r="BQ103" s="10"/>
      <c r="BR103" s="10"/>
      <c r="BS103" s="10"/>
      <c r="BT103" s="10"/>
      <c r="BU103" s="10"/>
    </row>
    <row r="104" spans="1:73" ht="129" customHeight="1" x14ac:dyDescent="0.2">
      <c r="A104" s="214"/>
      <c r="B104" s="241"/>
      <c r="C104" s="241"/>
      <c r="D104" s="183"/>
      <c r="E104" s="181"/>
      <c r="F104" s="181"/>
      <c r="G104" s="242"/>
      <c r="H104" s="181"/>
      <c r="I104" s="242"/>
      <c r="J104" s="217"/>
      <c r="K104" s="183"/>
      <c r="L104" s="185"/>
      <c r="M104" s="205"/>
      <c r="N104" s="206"/>
      <c r="O104" s="203"/>
      <c r="P104" s="239">
        <f>IF(NOT(ISERROR(MATCH(O104,_xlfn.ANCHORARRAY(#REF!),0))),#REF!&amp;"Por favor no seleccionar los criterios de impacto",O104)</f>
        <v>0</v>
      </c>
      <c r="Q104" s="205"/>
      <c r="R104" s="206"/>
      <c r="S104" s="207"/>
      <c r="T104" s="152">
        <v>2</v>
      </c>
      <c r="U104" s="141" t="s">
        <v>829</v>
      </c>
      <c r="V104" s="153" t="str">
        <f t="shared" si="153"/>
        <v>Probabilidad</v>
      </c>
      <c r="W104" s="154" t="s">
        <v>14</v>
      </c>
      <c r="X104" s="154" t="s">
        <v>8</v>
      </c>
      <c r="Y104" s="155" t="str">
        <f t="shared" ref="Y104" si="163">IF(AND(W104="Preventivo",X104="Automático"),"50%",IF(AND(W104="Preventivo",X104="Manual"),"40%",IF(AND(W104="Detectivo",X104="Automático"),"40%",IF(AND(W104="Detectivo",X104="Manual"),"30%",IF(AND(W104="Correctivo",X104="Automático"),"35%",IF(AND(W104="Correctivo",X104="Manual"),"25%",""))))))</f>
        <v>30%</v>
      </c>
      <c r="Z104" s="154" t="s">
        <v>18</v>
      </c>
      <c r="AA104" s="154" t="s">
        <v>21</v>
      </c>
      <c r="AB104" s="154" t="s">
        <v>112</v>
      </c>
      <c r="AC104" s="156">
        <f>IFERROR(IF(AND(V103="Probabilidad",V104="Probabilidad"),(AE103-(+AE103*Y104)),IF(V104="Probabilidad",(N103-(+N103*Y104)),IF(V104="Impacto",AE103,""))),"")</f>
        <v>8.3999999999999991E-2</v>
      </c>
      <c r="AD104" s="157" t="str">
        <f t="shared" ref="AD104" si="164">IFERROR(IF(AC104="","",IF(AC104&lt;=0.2,"Muy Baja",IF(AC104&lt;=0.4,"Baja",IF(AC104&lt;=0.6,"Media",IF(AC104&lt;=0.8,"Alta","Muy Alta"))))),"")</f>
        <v>Muy Baja</v>
      </c>
      <c r="AE104" s="158">
        <f t="shared" ref="AE104" si="165">+AC104</f>
        <v>8.3999999999999991E-2</v>
      </c>
      <c r="AF104" s="157" t="str">
        <f t="shared" ref="AF104" si="166">IFERROR(IF(AG104="","",IF(AG104&lt;=0.2,"Leve",IF(AG104&lt;=0.4,"Menor",IF(AG104&lt;=0.6,"Moderado",IF(AG104&lt;=0.8,"Mayor","Catastrófico"))))),"")</f>
        <v>Catastrófico</v>
      </c>
      <c r="AG104" s="158">
        <f>IFERROR(IF(AND(V103="Impacto",V104="Impacto"),(AG103-(+AG103*Y104)),IF(V104="Impacto",(R103-(+R103*Y104)),IF(V104="Probabilidad",AG103,""))),"")</f>
        <v>1</v>
      </c>
      <c r="AH104" s="159" t="str">
        <f t="shared" ref="AH104" si="167">IFERROR(IF(OR(AND(AD104="Muy Baja",AF104="Leve"),AND(AD104="Muy Baja",AF104="Menor"),AND(AD104="Baja",AF104="Leve")),"Bajo",IF(OR(AND(AD104="Muy baja",AF104="Moderado"),AND(AD104="Baja",AF104="Menor"),AND(AD104="Baja",AF104="Moderado"),AND(AD104="Media",AF104="Leve"),AND(AD104="Media",AF104="Menor"),AND(AD104="Media",AF104="Moderado"),AND(AD104="Alta",AF104="Leve"),AND(AD104="Alta",AF104="Menor")),"Moderado",IF(OR(AND(AD104="Muy Baja",AF104="Mayor"),AND(AD104="Baja",AF104="Mayor"),AND(AD104="Media",AF104="Mayor"),AND(AD104="Alta",AF104="Moderado"),AND(AD104="Alta",AF104="Mayor"),AND(AD104="Muy Alta",AF104="Leve"),AND(AD104="Muy Alta",AF104="Menor"),AND(AD104="Muy Alta",AF104="Moderado"),AND(AD104="Muy Alta",AF104="Mayor")),"Alto",IF(OR(AND(AD104="Muy Baja",AF104="Catastrófico"),AND(AD104="Baja",AF104="Catastrófico"),AND(AD104="Media",AF104="Catastrófico"),AND(AD104="Alta",AF104="Catastrófico"),AND(AD104="Muy Alta",AF104="Catastrófico")),"Extremo","")))),"")</f>
        <v>Extremo</v>
      </c>
      <c r="AI104" s="161" t="s">
        <v>117</v>
      </c>
      <c r="AJ104" s="197"/>
      <c r="AK104" s="185"/>
      <c r="AL104" s="187"/>
      <c r="AM104" s="195"/>
      <c r="AN104" s="183"/>
      <c r="AO104" s="254"/>
      <c r="AP104" s="256"/>
    </row>
    <row r="105" spans="1:73" ht="177.75" customHeight="1" x14ac:dyDescent="0.2">
      <c r="A105" s="214">
        <v>19</v>
      </c>
      <c r="B105" s="219" t="s">
        <v>248</v>
      </c>
      <c r="C105" s="262" t="s">
        <v>472</v>
      </c>
      <c r="D105" s="226" t="s">
        <v>266</v>
      </c>
      <c r="E105" s="178" t="s">
        <v>473</v>
      </c>
      <c r="F105" s="178" t="s">
        <v>474</v>
      </c>
      <c r="G105" s="178" t="s">
        <v>475</v>
      </c>
      <c r="H105" s="257" t="s">
        <v>476</v>
      </c>
      <c r="I105" s="265" t="s">
        <v>477</v>
      </c>
      <c r="J105" s="228" t="s">
        <v>230</v>
      </c>
      <c r="K105" s="226" t="s">
        <v>227</v>
      </c>
      <c r="L105" s="199">
        <v>36311</v>
      </c>
      <c r="M105" s="205" t="str">
        <f t="shared" ref="M105" si="168">IF(L105&lt;=0,"",IF(L105&lt;=2,"Muy Baja",IF(L105&lt;=24,"Baja",IF(L105&lt;=500,"Media",IF(L105&lt;=5000,"Alta","Muy Alta")))))</f>
        <v>Muy Alta</v>
      </c>
      <c r="N105" s="206">
        <f t="shared" ref="N105" si="169">IF(M105="","",IF(M105="Muy Baja",0.2,IF(M105="Baja",0.4,IF(M105="Media",0.6,IF(M105="Alta",0.8,IF(M105="Muy Alta",1,))))))</f>
        <v>1</v>
      </c>
      <c r="O105" s="211" t="s">
        <v>135</v>
      </c>
      <c r="P105" s="239" t="str">
        <f>IF(NOT(ISERROR(MATCH(O105,'Tabla Impacto'!$B$221:$B$223,0))),'Tabla Impacto'!$F$223&amp;"Por favor no seleccionar los criterios de impacto(Afectación Económica o presupuestal y Pérdida Reputacional)",O105)</f>
        <v xml:space="preserve">     El riesgo afecta la imagen de de la entidad con efecto publicitario sostenido a nivel de sector administrativo, nivel departamental o municipal</v>
      </c>
      <c r="Q105" s="205" t="str">
        <f>IF(OR(P105='Tabla Impacto'!$C$11,P105='Tabla Impacto'!$D$11),"Leve",IF(OR(P105='Tabla Impacto'!$C$12,P105='Tabla Impacto'!$D$12),"Menor",IF(OR(P105='Tabla Impacto'!$C$13,P105='Tabla Impacto'!$D$13),"Moderado",IF(OR(P105='Tabla Impacto'!$C$14,P105='Tabla Impacto'!$D$14),"Mayor",IF(OR(P105='Tabla Impacto'!$C$15,P105='Tabla Impacto'!$D$15),"Catastrófico","")))))</f>
        <v>Mayor</v>
      </c>
      <c r="R105" s="206">
        <f t="shared" ref="R105" si="170">IF(Q105="","",IF(Q105="Leve",0.2,IF(Q105="Menor",0.4,IF(Q105="Moderado",0.6,IF(Q105="Mayor",0.8,IF(Q105="Catastrófico",1,))))))</f>
        <v>0.8</v>
      </c>
      <c r="S105" s="207" t="str">
        <f t="shared" ref="S105" si="171">IF(OR(AND(M105="Muy Baja",Q105="Leve"),AND(M105="Muy Baja",Q105="Menor"),AND(M105="Baja",Q105="Leve")),"Bajo",IF(OR(AND(M105="Muy baja",Q105="Moderado"),AND(M105="Baja",Q105="Menor"),AND(M105="Baja",Q105="Moderado"),AND(M105="Media",Q105="Leve"),AND(M105="Media",Q105="Menor"),AND(M105="Media",Q105="Moderado"),AND(M105="Alta",Q105="Leve"),AND(M105="Alta",Q105="Menor")),"Moderado",IF(OR(AND(M105="Muy Baja",Q105="Mayor"),AND(M105="Baja",Q105="Mayor"),AND(M105="Media",Q105="Mayor"),AND(M105="Alta",Q105="Moderado"),AND(M105="Alta",Q105="Mayor"),AND(M105="Muy Alta",Q105="Leve"),AND(M105="Muy Alta",Q105="Menor"),AND(M105="Muy Alta",Q105="Moderado"),AND(M105="Muy Alta",Q105="Mayor")),"Alto",IF(OR(AND(M105="Muy Baja",Q105="Catastrófico"),AND(M105="Baja",Q105="Catastrófico"),AND(M105="Media",Q105="Catastrófico"),AND(M105="Alta",Q105="Catastrófico"),AND(M105="Muy Alta",Q105="Catastrófico")),"Extremo",""))))</f>
        <v>Alto</v>
      </c>
      <c r="T105" s="152">
        <v>1</v>
      </c>
      <c r="U105" s="173" t="s">
        <v>478</v>
      </c>
      <c r="V105" s="153" t="str">
        <f t="shared" si="153"/>
        <v>Probabilidad</v>
      </c>
      <c r="W105" s="145" t="s">
        <v>13</v>
      </c>
      <c r="X105" s="145" t="s">
        <v>9</v>
      </c>
      <c r="Y105" s="155" t="str">
        <f>IF(AND(W105="Preventivo",X105="Automático"),"50%",IF(AND(W105="Preventivo",X105="Manual"),"40%",IF(AND(W105="Detectivo",X105="Automático"),"40%",IF(AND(W105="Detectivo",X105="Manual"),"30%",IF(AND(W105="Correctivo",X105="Automático"),"35%",IF(AND(W105="Correctivo",X105="Manual"),"25%",""))))))</f>
        <v>50%</v>
      </c>
      <c r="Z105" s="145" t="s">
        <v>18</v>
      </c>
      <c r="AA105" s="145" t="s">
        <v>21</v>
      </c>
      <c r="AB105" s="145" t="s">
        <v>112</v>
      </c>
      <c r="AC105" s="156">
        <f>IFERROR(IF(V105="Probabilidad",(N105-(+N105*Y105)),IF(V105="Impacto",N105,"")),"")</f>
        <v>0.5</v>
      </c>
      <c r="AD105" s="157" t="str">
        <f>IFERROR(IF(AC105="","",IF(AC105&lt;=0.2,"Muy Baja",IF(AC105&lt;=0.4,"Baja",IF(AC105&lt;=0.6,"Media",IF(AC105&lt;=0.8,"Alta","Muy Alta"))))),"")</f>
        <v>Media</v>
      </c>
      <c r="AE105" s="158">
        <f>+AC105</f>
        <v>0.5</v>
      </c>
      <c r="AF105" s="157" t="str">
        <f>IFERROR(IF(AG105="","",IF(AG105&lt;=0.2,"Leve",IF(AG105&lt;=0.4,"Menor",IF(AG105&lt;=0.6,"Moderado",IF(AG105&lt;=0.8,"Mayor","Catastrófico"))))),"")</f>
        <v>Mayor</v>
      </c>
      <c r="AG105" s="158">
        <f>IFERROR(IF(V105="Impacto",(R105-(+R105*Y105)),IF(V105="Probabilidad",R105,"")),"")</f>
        <v>0.8</v>
      </c>
      <c r="AH105" s="159" t="str">
        <f>IFERROR(IF(OR(AND(AD105="Muy Baja",AF105="Leve"),AND(AD105="Muy Baja",AF105="Menor"),AND(AD105="Baja",AF105="Leve")),"Bajo",IF(OR(AND(AD105="Muy baja",AF105="Moderado"),AND(AD105="Baja",AF105="Menor"),AND(AD105="Baja",AF105="Moderado"),AND(AD105="Media",AF105="Leve"),AND(AD105="Media",AF105="Menor"),AND(AD105="Media",AF105="Moderado"),AND(AD105="Alta",AF105="Leve"),AND(AD105="Alta",AF105="Menor")),"Moderado",IF(OR(AND(AD105="Muy Baja",AF105="Mayor"),AND(AD105="Baja",AF105="Mayor"),AND(AD105="Media",AF105="Mayor"),AND(AD105="Alta",AF105="Moderado"),AND(AD105="Alta",AF105="Mayor"),AND(AD105="Muy Alta",AF105="Leve"),AND(AD105="Muy Alta",AF105="Menor"),AND(AD105="Muy Alta",AF105="Moderado"),AND(AD105="Muy Alta",AF105="Mayor")),"Alto",IF(OR(AND(AD105="Muy Baja",AF105="Catastrófico"),AND(AD105="Baja",AF105="Catastrófico"),AND(AD105="Media",AF105="Catastrófico"),AND(AD105="Alta",AF105="Catastrófico"),AND(AD105="Muy Alta",AF105="Catastrófico")),"Extremo","")))),"")</f>
        <v>Alto</v>
      </c>
      <c r="AI105" s="151" t="s">
        <v>117</v>
      </c>
      <c r="AJ105" s="184" t="s">
        <v>481</v>
      </c>
      <c r="AK105" s="186" t="s">
        <v>196</v>
      </c>
      <c r="AL105" s="188">
        <v>45293</v>
      </c>
      <c r="AM105" s="194">
        <v>45657</v>
      </c>
      <c r="AN105" s="184" t="s">
        <v>284</v>
      </c>
      <c r="AO105" s="190" t="s">
        <v>269</v>
      </c>
      <c r="AP105" s="267" t="s">
        <v>482</v>
      </c>
      <c r="AQ105" s="10"/>
      <c r="AR105" s="10"/>
      <c r="AS105" s="10"/>
      <c r="AT105" s="10"/>
      <c r="AU105" s="10"/>
      <c r="AV105" s="10"/>
      <c r="AW105" s="10"/>
      <c r="AX105" s="10"/>
      <c r="AY105" s="10"/>
      <c r="AZ105" s="10"/>
      <c r="BA105" s="10"/>
      <c r="BB105" s="10"/>
      <c r="BC105" s="10"/>
      <c r="BD105" s="10"/>
      <c r="BE105" s="10"/>
      <c r="BF105" s="10"/>
      <c r="BG105" s="10"/>
      <c r="BH105" s="10"/>
      <c r="BI105" s="10"/>
      <c r="BJ105" s="10"/>
      <c r="BK105" s="10"/>
      <c r="BL105" s="10"/>
      <c r="BM105" s="10"/>
      <c r="BN105" s="10"/>
      <c r="BO105" s="10"/>
      <c r="BP105" s="10"/>
      <c r="BQ105" s="10"/>
      <c r="BR105" s="10"/>
      <c r="BS105" s="10"/>
      <c r="BT105" s="10"/>
      <c r="BU105" s="10"/>
    </row>
    <row r="106" spans="1:73" ht="155.25" customHeight="1" x14ac:dyDescent="0.2">
      <c r="A106" s="214"/>
      <c r="B106" s="220"/>
      <c r="C106" s="263"/>
      <c r="D106" s="227"/>
      <c r="E106" s="179"/>
      <c r="F106" s="179"/>
      <c r="G106" s="179"/>
      <c r="H106" s="264"/>
      <c r="I106" s="266"/>
      <c r="J106" s="229"/>
      <c r="K106" s="227"/>
      <c r="L106" s="200"/>
      <c r="M106" s="205"/>
      <c r="N106" s="206"/>
      <c r="O106" s="203"/>
      <c r="P106" s="239">
        <f>IF(NOT(ISERROR(MATCH(O106,_xlfn.ANCHORARRAY(#REF!),0))),#REF!&amp;"Por favor no seleccionar los criterios de impacto",O106)</f>
        <v>0</v>
      </c>
      <c r="Q106" s="205"/>
      <c r="R106" s="206"/>
      <c r="S106" s="207"/>
      <c r="T106" s="152">
        <v>2</v>
      </c>
      <c r="U106" s="166" t="s">
        <v>479</v>
      </c>
      <c r="V106" s="153" t="str">
        <f t="shared" si="153"/>
        <v>Probabilidad</v>
      </c>
      <c r="W106" s="145" t="s">
        <v>13</v>
      </c>
      <c r="X106" s="145" t="s">
        <v>9</v>
      </c>
      <c r="Y106" s="155" t="str">
        <f t="shared" ref="Y106:Y110" si="172">IF(AND(W106="Preventivo",X106="Automático"),"50%",IF(AND(W106="Preventivo",X106="Manual"),"40%",IF(AND(W106="Detectivo",X106="Automático"),"40%",IF(AND(W106="Detectivo",X106="Manual"),"30%",IF(AND(W106="Correctivo",X106="Automático"),"35%",IF(AND(W106="Correctivo",X106="Manual"),"25%",""))))))</f>
        <v>50%</v>
      </c>
      <c r="Z106" s="145" t="s">
        <v>18</v>
      </c>
      <c r="AA106" s="145" t="s">
        <v>21</v>
      </c>
      <c r="AB106" s="145" t="s">
        <v>112</v>
      </c>
      <c r="AC106" s="156">
        <f>IFERROR(IF(AND(V105="Probabilidad",V106="Probabilidad"),(AE105-(+AE105*Y106)),IF(V106="Probabilidad",(N105-(+N105*Y106)),IF(V106="Impacto",AE105,""))),"")</f>
        <v>0.25</v>
      </c>
      <c r="AD106" s="157" t="str">
        <f t="shared" ref="AD106:AD110" si="173">IFERROR(IF(AC106="","",IF(AC106&lt;=0.2,"Muy Baja",IF(AC106&lt;=0.4,"Baja",IF(AC106&lt;=0.6,"Media",IF(AC106&lt;=0.8,"Alta","Muy Alta"))))),"")</f>
        <v>Baja</v>
      </c>
      <c r="AE106" s="158">
        <f t="shared" ref="AE106:AE110" si="174">+AC106</f>
        <v>0.25</v>
      </c>
      <c r="AF106" s="157" t="str">
        <f t="shared" ref="AF106:AF110" si="175">IFERROR(IF(AG106="","",IF(AG106&lt;=0.2,"Leve",IF(AG106&lt;=0.4,"Menor",IF(AG106&lt;=0.6,"Moderado",IF(AG106&lt;=0.8,"Mayor","Catastrófico"))))),"")</f>
        <v>Mayor</v>
      </c>
      <c r="AG106" s="158">
        <f>IFERROR(IF(AND(V105="Impacto",V106="Impacto"),(AG105-(+AG105*Y106)),IF(V106="Impacto",(R105-(+R105*Y106)),IF(V106="Probabilidad",AG105,""))),"")</f>
        <v>0.8</v>
      </c>
      <c r="AH106" s="159" t="str">
        <f t="shared" ref="AH106:AH107" si="176">IFERROR(IF(OR(AND(AD106="Muy Baja",AF106="Leve"),AND(AD106="Muy Baja",AF106="Menor"),AND(AD106="Baja",AF106="Leve")),"Bajo",IF(OR(AND(AD106="Muy baja",AF106="Moderado"),AND(AD106="Baja",AF106="Menor"),AND(AD106="Baja",AF106="Moderado"),AND(AD106="Media",AF106="Leve"),AND(AD106="Media",AF106="Menor"),AND(AD106="Media",AF106="Moderado"),AND(AD106="Alta",AF106="Leve"),AND(AD106="Alta",AF106="Menor")),"Moderado",IF(OR(AND(AD106="Muy Baja",AF106="Mayor"),AND(AD106="Baja",AF106="Mayor"),AND(AD106="Media",AF106="Mayor"),AND(AD106="Alta",AF106="Moderado"),AND(AD106="Alta",AF106="Mayor"),AND(AD106="Muy Alta",AF106="Leve"),AND(AD106="Muy Alta",AF106="Menor"),AND(AD106="Muy Alta",AF106="Moderado"),AND(AD106="Muy Alta",AF106="Mayor")),"Alto",IF(OR(AND(AD106="Muy Baja",AF106="Catastrófico"),AND(AD106="Baja",AF106="Catastrófico"),AND(AD106="Media",AF106="Catastrófico"),AND(AD106="Alta",AF106="Catastrófico"),AND(AD106="Muy Alta",AF106="Catastrófico")),"Extremo","")))),"")</f>
        <v>Alto</v>
      </c>
      <c r="AI106" s="151" t="s">
        <v>117</v>
      </c>
      <c r="AJ106" s="183"/>
      <c r="AK106" s="185"/>
      <c r="AL106" s="187"/>
      <c r="AM106" s="195"/>
      <c r="AN106" s="183"/>
      <c r="AO106" s="190"/>
      <c r="AP106" s="267"/>
    </row>
    <row r="107" spans="1:73" ht="139.5" customHeight="1" x14ac:dyDescent="0.2">
      <c r="A107" s="214"/>
      <c r="B107" s="220"/>
      <c r="C107" s="263"/>
      <c r="D107" s="227"/>
      <c r="E107" s="179"/>
      <c r="F107" s="179"/>
      <c r="G107" s="179"/>
      <c r="H107" s="264"/>
      <c r="I107" s="266"/>
      <c r="J107" s="229"/>
      <c r="K107" s="227"/>
      <c r="L107" s="200"/>
      <c r="M107" s="205"/>
      <c r="N107" s="206"/>
      <c r="O107" s="203"/>
      <c r="P107" s="239">
        <f>IF(NOT(ISERROR(MATCH(O107,_xlfn.ANCHORARRAY(#REF!),0))),#REF!&amp;"Por favor no seleccionar los criterios de impacto",O107)</f>
        <v>0</v>
      </c>
      <c r="Q107" s="205"/>
      <c r="R107" s="206"/>
      <c r="S107" s="207"/>
      <c r="T107" s="152">
        <v>3</v>
      </c>
      <c r="U107" s="166" t="s">
        <v>480</v>
      </c>
      <c r="V107" s="153" t="str">
        <f t="shared" si="153"/>
        <v>Probabilidad</v>
      </c>
      <c r="W107" s="145" t="s">
        <v>13</v>
      </c>
      <c r="X107" s="145" t="s">
        <v>9</v>
      </c>
      <c r="Y107" s="155" t="str">
        <f t="shared" si="172"/>
        <v>50%</v>
      </c>
      <c r="Z107" s="145" t="s">
        <v>18</v>
      </c>
      <c r="AA107" s="145" t="s">
        <v>21</v>
      </c>
      <c r="AB107" s="145" t="s">
        <v>112</v>
      </c>
      <c r="AC107" s="156">
        <f>IFERROR(IF(AND(V106="Probabilidad",V107="Probabilidad"),(AE106-(+AE106*Y107)),IF(AND(V106="Impacto",V107="Probabilidad"),(AE105-(+AE105*Y107)),IF(V107="Impacto",AE106,""))),"")</f>
        <v>0.125</v>
      </c>
      <c r="AD107" s="157" t="str">
        <f t="shared" si="173"/>
        <v>Muy Baja</v>
      </c>
      <c r="AE107" s="158">
        <f t="shared" si="174"/>
        <v>0.125</v>
      </c>
      <c r="AF107" s="157" t="str">
        <f t="shared" si="175"/>
        <v>Mayor</v>
      </c>
      <c r="AG107" s="158">
        <f>IFERROR(IF(AND(V106="Impacto",V107="Impacto"),(AG106-(+AG106*Y107)),IF(AND(V106="Probabilidad",V107="Impacto"),(AG105-(+AG105*Y107)),IF(V107="Probabilidad",AG106,""))),"")</f>
        <v>0.8</v>
      </c>
      <c r="AH107" s="159" t="str">
        <f t="shared" si="176"/>
        <v>Alto</v>
      </c>
      <c r="AI107" s="151" t="s">
        <v>117</v>
      </c>
      <c r="AJ107" s="183"/>
      <c r="AK107" s="185"/>
      <c r="AL107" s="187"/>
      <c r="AM107" s="195"/>
      <c r="AN107" s="183"/>
      <c r="AO107" s="190"/>
      <c r="AP107" s="267"/>
    </row>
    <row r="108" spans="1:73" ht="15" customHeight="1" x14ac:dyDescent="0.2">
      <c r="A108" s="214"/>
      <c r="B108" s="220"/>
      <c r="C108" s="263"/>
      <c r="D108" s="227"/>
      <c r="E108" s="179"/>
      <c r="F108" s="179"/>
      <c r="G108" s="179"/>
      <c r="H108" s="264"/>
      <c r="I108" s="266"/>
      <c r="J108" s="229"/>
      <c r="K108" s="227"/>
      <c r="L108" s="200"/>
      <c r="M108" s="205"/>
      <c r="N108" s="206"/>
      <c r="O108" s="203"/>
      <c r="P108" s="239">
        <f>IF(NOT(ISERROR(MATCH(O108,_xlfn.ANCHORARRAY(#REF!),0))),#REF!&amp;"Por favor no seleccionar los criterios de impacto",O108)</f>
        <v>0</v>
      </c>
      <c r="Q108" s="205"/>
      <c r="R108" s="206"/>
      <c r="S108" s="207"/>
      <c r="T108" s="152">
        <v>4</v>
      </c>
      <c r="U108" s="160"/>
      <c r="V108" s="153" t="str">
        <f t="shared" ref="V108:V110" si="177">IF(OR(W108="Preventivo",W108="Detectivo"),"Probabilidad",IF(W108="Correctivo","Impacto",""))</f>
        <v/>
      </c>
      <c r="W108" s="154"/>
      <c r="X108" s="154"/>
      <c r="Y108" s="155" t="str">
        <f t="shared" si="172"/>
        <v/>
      </c>
      <c r="Z108" s="154"/>
      <c r="AA108" s="154"/>
      <c r="AB108" s="154"/>
      <c r="AC108" s="156" t="str">
        <f t="shared" ref="AC108:AC110" si="178">IFERROR(IF(AND(V107="Probabilidad",V108="Probabilidad"),(AE107-(+AE107*Y108)),IF(AND(V107="Impacto",V108="Probabilidad"),(AE106-(+AE106*Y108)),IF(V108="Impacto",AE107,""))),"")</f>
        <v/>
      </c>
      <c r="AD108" s="157" t="str">
        <f t="shared" si="173"/>
        <v/>
      </c>
      <c r="AE108" s="158" t="str">
        <f t="shared" si="174"/>
        <v/>
      </c>
      <c r="AF108" s="157" t="str">
        <f t="shared" si="175"/>
        <v/>
      </c>
      <c r="AG108" s="158" t="str">
        <f t="shared" ref="AG108:AG110" si="179">IFERROR(IF(AND(V107="Impacto",V108="Impacto"),(AG107-(+AG107*Y108)),IF(AND(V107="Probabilidad",V108="Impacto"),(AG106-(+AG106*Y108)),IF(V108="Probabilidad",AG107,""))),"")</f>
        <v/>
      </c>
      <c r="AH108" s="159" t="str">
        <f>IFERROR(IF(OR(AND(AD108="Muy Baja",AF108="Leve"),AND(AD108="Muy Baja",AF108="Menor"),AND(AD108="Baja",AF108="Leve")),"Bajo",IF(OR(AND(AD108="Muy baja",AF108="Moderado"),AND(AD108="Baja",AF108="Menor"),AND(AD108="Baja",AF108="Moderado"),AND(AD108="Media",AF108="Leve"),AND(AD108="Media",AF108="Menor"),AND(AD108="Media",AF108="Moderado"),AND(AD108="Alta",AF108="Leve"),AND(AD108="Alta",AF108="Menor")),"Moderado",IF(OR(AND(AD108="Muy Baja",AF108="Mayor"),AND(AD108="Baja",AF108="Mayor"),AND(AD108="Media",AF108="Mayor"),AND(AD108="Alta",AF108="Moderado"),AND(AD108="Alta",AF108="Mayor"),AND(AD108="Muy Alta",AF108="Leve"),AND(AD108="Muy Alta",AF108="Menor"),AND(AD108="Muy Alta",AF108="Moderado"),AND(AD108="Muy Alta",AF108="Mayor")),"Alto",IF(OR(AND(AD108="Muy Baja",AF108="Catastrófico"),AND(AD108="Baja",AF108="Catastrófico"),AND(AD108="Media",AF108="Catastrófico"),AND(AD108="Alta",AF108="Catastrófico"),AND(AD108="Muy Alta",AF108="Catastrófico")),"Extremo","")))),"")</f>
        <v/>
      </c>
      <c r="AI108" s="161"/>
      <c r="AJ108" s="183"/>
      <c r="AK108" s="185"/>
      <c r="AL108" s="187"/>
      <c r="AM108" s="195"/>
      <c r="AN108" s="183"/>
      <c r="AO108" s="190"/>
      <c r="AP108" s="267"/>
    </row>
    <row r="109" spans="1:73" ht="15" customHeight="1" x14ac:dyDescent="0.2">
      <c r="A109" s="214"/>
      <c r="B109" s="220"/>
      <c r="C109" s="263"/>
      <c r="D109" s="227"/>
      <c r="E109" s="179"/>
      <c r="F109" s="179"/>
      <c r="G109" s="179"/>
      <c r="H109" s="264"/>
      <c r="I109" s="266"/>
      <c r="J109" s="229"/>
      <c r="K109" s="227"/>
      <c r="L109" s="200"/>
      <c r="M109" s="205"/>
      <c r="N109" s="206"/>
      <c r="O109" s="203"/>
      <c r="P109" s="239">
        <f>IF(NOT(ISERROR(MATCH(O109,_xlfn.ANCHORARRAY(#REF!),0))),N112&amp;"Por favor no seleccionar los criterios de impacto",O109)</f>
        <v>0</v>
      </c>
      <c r="Q109" s="205"/>
      <c r="R109" s="206"/>
      <c r="S109" s="207"/>
      <c r="T109" s="152">
        <v>5</v>
      </c>
      <c r="U109" s="160"/>
      <c r="V109" s="153" t="str">
        <f t="shared" si="177"/>
        <v/>
      </c>
      <c r="W109" s="154"/>
      <c r="X109" s="154"/>
      <c r="Y109" s="155" t="str">
        <f t="shared" si="172"/>
        <v/>
      </c>
      <c r="Z109" s="154"/>
      <c r="AA109" s="154"/>
      <c r="AB109" s="154"/>
      <c r="AC109" s="156" t="str">
        <f t="shared" si="178"/>
        <v/>
      </c>
      <c r="AD109" s="157" t="str">
        <f t="shared" si="173"/>
        <v/>
      </c>
      <c r="AE109" s="158" t="str">
        <f t="shared" si="174"/>
        <v/>
      </c>
      <c r="AF109" s="157" t="str">
        <f t="shared" si="175"/>
        <v/>
      </c>
      <c r="AG109" s="158" t="str">
        <f t="shared" si="179"/>
        <v/>
      </c>
      <c r="AH109" s="159" t="str">
        <f t="shared" ref="AH109:AH110" si="180">IFERROR(IF(OR(AND(AD109="Muy Baja",AF109="Leve"),AND(AD109="Muy Baja",AF109="Menor"),AND(AD109="Baja",AF109="Leve")),"Bajo",IF(OR(AND(AD109="Muy baja",AF109="Moderado"),AND(AD109="Baja",AF109="Menor"),AND(AD109="Baja",AF109="Moderado"),AND(AD109="Media",AF109="Leve"),AND(AD109="Media",AF109="Menor"),AND(AD109="Media",AF109="Moderado"),AND(AD109="Alta",AF109="Leve"),AND(AD109="Alta",AF109="Menor")),"Moderado",IF(OR(AND(AD109="Muy Baja",AF109="Mayor"),AND(AD109="Baja",AF109="Mayor"),AND(AD109="Media",AF109="Mayor"),AND(AD109="Alta",AF109="Moderado"),AND(AD109="Alta",AF109="Mayor"),AND(AD109="Muy Alta",AF109="Leve"),AND(AD109="Muy Alta",AF109="Menor"),AND(AD109="Muy Alta",AF109="Moderado"),AND(AD109="Muy Alta",AF109="Mayor")),"Alto",IF(OR(AND(AD109="Muy Baja",AF109="Catastrófico"),AND(AD109="Baja",AF109="Catastrófico"),AND(AD109="Media",AF109="Catastrófico"),AND(AD109="Alta",AF109="Catastrófico"),AND(AD109="Muy Alta",AF109="Catastrófico")),"Extremo","")))),"")</f>
        <v/>
      </c>
      <c r="AI109" s="161"/>
      <c r="AJ109" s="183"/>
      <c r="AK109" s="185"/>
      <c r="AL109" s="187"/>
      <c r="AM109" s="195"/>
      <c r="AN109" s="183"/>
      <c r="AO109" s="190"/>
      <c r="AP109" s="267"/>
    </row>
    <row r="110" spans="1:73" ht="15" customHeight="1" x14ac:dyDescent="0.2">
      <c r="A110" s="214"/>
      <c r="B110" s="220"/>
      <c r="C110" s="243"/>
      <c r="D110" s="184"/>
      <c r="E110" s="180"/>
      <c r="F110" s="180"/>
      <c r="G110" s="180"/>
      <c r="H110" s="196"/>
      <c r="I110" s="246"/>
      <c r="J110" s="218"/>
      <c r="K110" s="184"/>
      <c r="L110" s="186"/>
      <c r="M110" s="205"/>
      <c r="N110" s="206"/>
      <c r="O110" s="203"/>
      <c r="P110" s="239">
        <f>IF(NOT(ISERROR(MATCH(O110,_xlfn.ANCHORARRAY(#REF!),0))),N113&amp;"Por favor no seleccionar los criterios de impacto",O110)</f>
        <v>0</v>
      </c>
      <c r="Q110" s="205"/>
      <c r="R110" s="206"/>
      <c r="S110" s="207"/>
      <c r="T110" s="152">
        <v>6</v>
      </c>
      <c r="U110" s="160"/>
      <c r="V110" s="153" t="str">
        <f t="shared" si="177"/>
        <v/>
      </c>
      <c r="W110" s="154"/>
      <c r="X110" s="154"/>
      <c r="Y110" s="155" t="str">
        <f t="shared" si="172"/>
        <v/>
      </c>
      <c r="Z110" s="154"/>
      <c r="AA110" s="154"/>
      <c r="AB110" s="154"/>
      <c r="AC110" s="156" t="str">
        <f t="shared" si="178"/>
        <v/>
      </c>
      <c r="AD110" s="157" t="str">
        <f t="shared" si="173"/>
        <v/>
      </c>
      <c r="AE110" s="158" t="str">
        <f t="shared" si="174"/>
        <v/>
      </c>
      <c r="AF110" s="157" t="str">
        <f t="shared" si="175"/>
        <v/>
      </c>
      <c r="AG110" s="158" t="str">
        <f t="shared" si="179"/>
        <v/>
      </c>
      <c r="AH110" s="159" t="str">
        <f t="shared" si="180"/>
        <v/>
      </c>
      <c r="AI110" s="161"/>
      <c r="AJ110" s="183"/>
      <c r="AK110" s="185"/>
      <c r="AL110" s="187"/>
      <c r="AM110" s="195"/>
      <c r="AN110" s="183"/>
      <c r="AO110" s="191"/>
      <c r="AP110" s="268"/>
    </row>
    <row r="111" spans="1:73" ht="175.5" customHeight="1" x14ac:dyDescent="0.2">
      <c r="A111" s="214">
        <v>20</v>
      </c>
      <c r="B111" s="243" t="s">
        <v>248</v>
      </c>
      <c r="C111" s="243" t="s">
        <v>472</v>
      </c>
      <c r="D111" s="184" t="s">
        <v>266</v>
      </c>
      <c r="E111" s="181" t="s">
        <v>483</v>
      </c>
      <c r="F111" s="181" t="s">
        <v>484</v>
      </c>
      <c r="G111" s="181" t="s">
        <v>485</v>
      </c>
      <c r="H111" s="197" t="s">
        <v>486</v>
      </c>
      <c r="I111" s="242" t="s">
        <v>487</v>
      </c>
      <c r="J111" s="218" t="s">
        <v>237</v>
      </c>
      <c r="K111" s="183" t="s">
        <v>242</v>
      </c>
      <c r="L111" s="185">
        <v>36311</v>
      </c>
      <c r="M111" s="205" t="str">
        <f t="shared" ref="M111" si="181">IF(L111&lt;=0,"",IF(L111&lt;=2,"Muy Baja",IF(L111&lt;=24,"Baja",IF(L111&lt;=500,"Media",IF(L111&lt;=5000,"Alta","Muy Alta")))))</f>
        <v>Muy Alta</v>
      </c>
      <c r="N111" s="206">
        <f t="shared" ref="N111" si="182">IF(M111="","",IF(M111="Muy Baja",0.2,IF(M111="Baja",0.4,IF(M111="Media",0.6,IF(M111="Alta",0.8,IF(M111="Muy Alta",1,))))))</f>
        <v>1</v>
      </c>
      <c r="O111" s="203" t="s">
        <v>136</v>
      </c>
      <c r="P111" s="239" t="str">
        <f>IF(NOT(ISERROR(MATCH(O111,'Tabla Impacto'!$B$221:$B$223,0))),'Tabla Impacto'!$F$223&amp;"Por favor no seleccionar los criterios de impacto(Afectación Económica o presupuestal y Pérdida Reputacional)",O111)</f>
        <v xml:space="preserve">     El riesgo afecta la imagen de la entidad a nivel nacional, con efecto publicitarios sostenible a nivel país</v>
      </c>
      <c r="Q111" s="205" t="str">
        <f>IF(OR(P111='Tabla Impacto'!$C$11,P111='Tabla Impacto'!$D$11),"Leve",IF(OR(P111='Tabla Impacto'!$C$12,P111='Tabla Impacto'!$D$12),"Menor",IF(OR(P111='Tabla Impacto'!$C$13,P111='Tabla Impacto'!$D$13),"Moderado",IF(OR(P111='Tabla Impacto'!$C$14,P111='Tabla Impacto'!$D$14),"Mayor",IF(OR(P111='Tabla Impacto'!$C$15,P111='Tabla Impacto'!$D$15),"Catastrófico","")))))</f>
        <v>Catastrófico</v>
      </c>
      <c r="R111" s="206">
        <f t="shared" ref="R111" si="183">IF(Q111="","",IF(Q111="Leve",0.2,IF(Q111="Menor",0.4,IF(Q111="Moderado",0.6,IF(Q111="Mayor",0.8,IF(Q111="Catastrófico",1,))))))</f>
        <v>1</v>
      </c>
      <c r="S111" s="207" t="str">
        <f t="shared" ref="S111" si="184">IF(OR(AND(M111="Muy Baja",Q111="Leve"),AND(M111="Muy Baja",Q111="Menor"),AND(M111="Baja",Q111="Leve")),"Bajo",IF(OR(AND(M111="Muy baja",Q111="Moderado"),AND(M111="Baja",Q111="Menor"),AND(M111="Baja",Q111="Moderado"),AND(M111="Media",Q111="Leve"),AND(M111="Media",Q111="Menor"),AND(M111="Media",Q111="Moderado"),AND(M111="Alta",Q111="Leve"),AND(M111="Alta",Q111="Menor")),"Moderado",IF(OR(AND(M111="Muy Baja",Q111="Mayor"),AND(M111="Baja",Q111="Mayor"),AND(M111="Media",Q111="Mayor"),AND(M111="Alta",Q111="Moderado"),AND(M111="Alta",Q111="Mayor"),AND(M111="Muy Alta",Q111="Leve"),AND(M111="Muy Alta",Q111="Menor"),AND(M111="Muy Alta",Q111="Moderado"),AND(M111="Muy Alta",Q111="Mayor")),"Alto",IF(OR(AND(M111="Muy Baja",Q111="Catastrófico"),AND(M111="Baja",Q111="Catastrófico"),AND(M111="Media",Q111="Catastrófico"),AND(M111="Alta",Q111="Catastrófico"),AND(M111="Muy Alta",Q111="Catastrófico")),"Extremo",""))))</f>
        <v>Extremo</v>
      </c>
      <c r="T111" s="152">
        <v>1</v>
      </c>
      <c r="U111" s="173" t="s">
        <v>478</v>
      </c>
      <c r="V111" s="153" t="str">
        <f>IF(OR(W111="Preventivo",W111="Detectivo"),"Probabilidad",IF(W111="Correctivo","Impacto",""))</f>
        <v>Probabilidad</v>
      </c>
      <c r="W111" s="145" t="s">
        <v>13</v>
      </c>
      <c r="X111" s="145" t="s">
        <v>8</v>
      </c>
      <c r="Y111" s="155" t="str">
        <f>IF(AND(W111="Preventivo",X111="Automático"),"50%",IF(AND(W111="Preventivo",X111="Manual"),"40%",IF(AND(W111="Detectivo",X111="Automático"),"40%",IF(AND(W111="Detectivo",X111="Manual"),"30%",IF(AND(W111="Correctivo",X111="Automático"),"35%",IF(AND(W111="Correctivo",X111="Manual"),"25%",""))))))</f>
        <v>40%</v>
      </c>
      <c r="Z111" s="145" t="s">
        <v>18</v>
      </c>
      <c r="AA111" s="145" t="s">
        <v>21</v>
      </c>
      <c r="AB111" s="145" t="s">
        <v>112</v>
      </c>
      <c r="AC111" s="156">
        <f>IFERROR(IF(V111="Probabilidad",(N111-(+N111*Y111)),IF(V111="Impacto",N111,"")),"")</f>
        <v>0.6</v>
      </c>
      <c r="AD111" s="157" t="str">
        <f>IFERROR(IF(AC111="","",IF(AC111&lt;=0.2,"Muy Baja",IF(AC111&lt;=0.4,"Baja",IF(AC111&lt;=0.6,"Media",IF(AC111&lt;=0.8,"Alta","Muy Alta"))))),"")</f>
        <v>Media</v>
      </c>
      <c r="AE111" s="158">
        <f>+AC111</f>
        <v>0.6</v>
      </c>
      <c r="AF111" s="157" t="str">
        <f>IFERROR(IF(AG111="","",IF(AG111&lt;=0.2,"Leve",IF(AG111&lt;=0.4,"Menor",IF(AG111&lt;=0.6,"Moderado",IF(AG111&lt;=0.8,"Mayor","Catastrófico"))))),"")</f>
        <v>Catastrófico</v>
      </c>
      <c r="AG111" s="158">
        <f>IFERROR(IF(V111="Impacto",(R111-(+R111*Y111)),IF(V111="Probabilidad",R111,"")),"")</f>
        <v>1</v>
      </c>
      <c r="AH111" s="159" t="str">
        <f>IFERROR(IF(OR(AND(AD111="Muy Baja",AF111="Leve"),AND(AD111="Muy Baja",AF111="Menor"),AND(AD111="Baja",AF111="Leve")),"Bajo",IF(OR(AND(AD111="Muy baja",AF111="Moderado"),AND(AD111="Baja",AF111="Menor"),AND(AD111="Baja",AF111="Moderado"),AND(AD111="Media",AF111="Leve"),AND(AD111="Media",AF111="Menor"),AND(AD111="Media",AF111="Moderado"),AND(AD111="Alta",AF111="Leve"),AND(AD111="Alta",AF111="Menor")),"Moderado",IF(OR(AND(AD111="Muy Baja",AF111="Mayor"),AND(AD111="Baja",AF111="Mayor"),AND(AD111="Media",AF111="Mayor"),AND(AD111="Alta",AF111="Moderado"),AND(AD111="Alta",AF111="Mayor"),AND(AD111="Muy Alta",AF111="Leve"),AND(AD111="Muy Alta",AF111="Menor"),AND(AD111="Muy Alta",AF111="Moderado"),AND(AD111="Muy Alta",AF111="Mayor")),"Alto",IF(OR(AND(AD111="Muy Baja",AF111="Catastrófico"),AND(AD111="Baja",AF111="Catastrófico"),AND(AD111="Media",AF111="Catastrófico"),AND(AD111="Alta",AF111="Catastrófico"),AND(AD111="Muy Alta",AF111="Catastrófico")),"Extremo","")))),"")</f>
        <v>Extremo</v>
      </c>
      <c r="AI111" s="151" t="s">
        <v>117</v>
      </c>
      <c r="AJ111" s="269" t="s">
        <v>488</v>
      </c>
      <c r="AK111" s="186" t="s">
        <v>196</v>
      </c>
      <c r="AL111" s="188">
        <v>45293</v>
      </c>
      <c r="AM111" s="194">
        <v>45657</v>
      </c>
      <c r="AN111" s="184" t="s">
        <v>368</v>
      </c>
      <c r="AO111" s="190" t="s">
        <v>269</v>
      </c>
      <c r="AP111" s="269" t="s">
        <v>489</v>
      </c>
      <c r="AQ111" s="10"/>
      <c r="AR111" s="10"/>
      <c r="AS111" s="10"/>
      <c r="AT111" s="10"/>
      <c r="AU111" s="10"/>
      <c r="AV111" s="10"/>
      <c r="AW111" s="10"/>
      <c r="AX111" s="10"/>
      <c r="AY111" s="10"/>
      <c r="AZ111" s="10"/>
      <c r="BA111" s="10"/>
      <c r="BB111" s="10"/>
      <c r="BC111" s="10"/>
      <c r="BD111" s="10"/>
      <c r="BE111" s="10"/>
      <c r="BF111" s="10"/>
      <c r="BG111" s="10"/>
      <c r="BH111" s="10"/>
      <c r="BI111" s="10"/>
      <c r="BJ111" s="10"/>
      <c r="BK111" s="10"/>
      <c r="BL111" s="10"/>
      <c r="BM111" s="10"/>
      <c r="BN111" s="10"/>
      <c r="BO111" s="10"/>
      <c r="BP111" s="10"/>
      <c r="BQ111" s="10"/>
      <c r="BR111" s="10"/>
      <c r="BS111" s="10"/>
      <c r="BT111" s="10"/>
      <c r="BU111" s="10"/>
    </row>
    <row r="112" spans="1:73" ht="156" customHeight="1" x14ac:dyDescent="0.2">
      <c r="A112" s="214"/>
      <c r="B112" s="241"/>
      <c r="C112" s="241"/>
      <c r="D112" s="183"/>
      <c r="E112" s="181"/>
      <c r="F112" s="181"/>
      <c r="G112" s="181"/>
      <c r="H112" s="197"/>
      <c r="I112" s="242"/>
      <c r="J112" s="217"/>
      <c r="K112" s="183"/>
      <c r="L112" s="185"/>
      <c r="M112" s="205"/>
      <c r="N112" s="206"/>
      <c r="O112" s="203"/>
      <c r="P112" s="239">
        <f>IF(NOT(ISERROR(MATCH(O112,_xlfn.ANCHORARRAY(#REF!),0))),#REF!&amp;"Por favor no seleccionar los criterios de impacto",O112)</f>
        <v>0</v>
      </c>
      <c r="Q112" s="205"/>
      <c r="R112" s="206"/>
      <c r="S112" s="207"/>
      <c r="T112" s="152">
        <v>2</v>
      </c>
      <c r="U112" s="166" t="s">
        <v>479</v>
      </c>
      <c r="V112" s="153" t="str">
        <f>IF(OR(W112="Preventivo",W112="Detectivo"),"Probabilidad",IF(W112="Correctivo","Impacto",""))</f>
        <v>Probabilidad</v>
      </c>
      <c r="W112" s="145" t="s">
        <v>13</v>
      </c>
      <c r="X112" s="145" t="s">
        <v>9</v>
      </c>
      <c r="Y112" s="155" t="str">
        <f t="shared" ref="Y112:Y116" si="185">IF(AND(W112="Preventivo",X112="Automático"),"50%",IF(AND(W112="Preventivo",X112="Manual"),"40%",IF(AND(W112="Detectivo",X112="Automático"),"40%",IF(AND(W112="Detectivo",X112="Manual"),"30%",IF(AND(W112="Correctivo",X112="Automático"),"35%",IF(AND(W112="Correctivo",X112="Manual"),"25%",""))))))</f>
        <v>50%</v>
      </c>
      <c r="Z112" s="145" t="s">
        <v>18</v>
      </c>
      <c r="AA112" s="145" t="s">
        <v>21</v>
      </c>
      <c r="AB112" s="145" t="s">
        <v>112</v>
      </c>
      <c r="AC112" s="156">
        <f>IFERROR(IF(AND(V111="Probabilidad",V112="Probabilidad"),(AE111-(+AE111*Y112)),IF(V112="Probabilidad",(N111-(+N111*Y112)),IF(V112="Impacto",AE111,""))),"")</f>
        <v>0.3</v>
      </c>
      <c r="AD112" s="157" t="str">
        <f t="shared" ref="AD112:AD116" si="186">IFERROR(IF(AC112="","",IF(AC112&lt;=0.2,"Muy Baja",IF(AC112&lt;=0.4,"Baja",IF(AC112&lt;=0.6,"Media",IF(AC112&lt;=0.8,"Alta","Muy Alta"))))),"")</f>
        <v>Baja</v>
      </c>
      <c r="AE112" s="158">
        <f t="shared" ref="AE112:AE116" si="187">+AC112</f>
        <v>0.3</v>
      </c>
      <c r="AF112" s="157" t="str">
        <f t="shared" ref="AF112:AF116" si="188">IFERROR(IF(AG112="","",IF(AG112&lt;=0.2,"Leve",IF(AG112&lt;=0.4,"Menor",IF(AG112&lt;=0.6,"Moderado",IF(AG112&lt;=0.8,"Mayor","Catastrófico"))))),"")</f>
        <v>Catastrófico</v>
      </c>
      <c r="AG112" s="158">
        <f>IFERROR(IF(AND(V111="Impacto",V112="Impacto"),(AG111-(+AG111*Y112)),IF(V112="Impacto",(R111-(+R111*Y112)),IF(V112="Probabilidad",AG111,""))),"")</f>
        <v>1</v>
      </c>
      <c r="AH112" s="159" t="str">
        <f t="shared" ref="AH112:AH113" si="189">IFERROR(IF(OR(AND(AD112="Muy Baja",AF112="Leve"),AND(AD112="Muy Baja",AF112="Menor"),AND(AD112="Baja",AF112="Leve")),"Bajo",IF(OR(AND(AD112="Muy baja",AF112="Moderado"),AND(AD112="Baja",AF112="Menor"),AND(AD112="Baja",AF112="Moderado"),AND(AD112="Media",AF112="Leve"),AND(AD112="Media",AF112="Menor"),AND(AD112="Media",AF112="Moderado"),AND(AD112="Alta",AF112="Leve"),AND(AD112="Alta",AF112="Menor")),"Moderado",IF(OR(AND(AD112="Muy Baja",AF112="Mayor"),AND(AD112="Baja",AF112="Mayor"),AND(AD112="Media",AF112="Mayor"),AND(AD112="Alta",AF112="Moderado"),AND(AD112="Alta",AF112="Mayor"),AND(AD112="Muy Alta",AF112="Leve"),AND(AD112="Muy Alta",AF112="Menor"),AND(AD112="Muy Alta",AF112="Moderado"),AND(AD112="Muy Alta",AF112="Mayor")),"Alto",IF(OR(AND(AD112="Muy Baja",AF112="Catastrófico"),AND(AD112="Baja",AF112="Catastrófico"),AND(AD112="Media",AF112="Catastrófico"),AND(AD112="Alta",AF112="Catastrófico"),AND(AD112="Muy Alta",AF112="Catastrófico")),"Extremo","")))),"")</f>
        <v>Extremo</v>
      </c>
      <c r="AI112" s="151" t="s">
        <v>117</v>
      </c>
      <c r="AJ112" s="269"/>
      <c r="AK112" s="185"/>
      <c r="AL112" s="187"/>
      <c r="AM112" s="195"/>
      <c r="AN112" s="183"/>
      <c r="AO112" s="190"/>
      <c r="AP112" s="269"/>
      <c r="AQ112" s="10"/>
      <c r="AR112" s="10"/>
      <c r="AS112" s="10"/>
      <c r="AT112" s="10"/>
      <c r="AU112" s="10"/>
      <c r="AV112" s="10"/>
      <c r="AW112" s="10"/>
      <c r="AX112" s="10"/>
      <c r="AY112" s="10"/>
      <c r="AZ112" s="10"/>
      <c r="BA112" s="10"/>
      <c r="BB112" s="10"/>
      <c r="BC112" s="10"/>
      <c r="BD112" s="10"/>
      <c r="BE112" s="10"/>
      <c r="BF112" s="10"/>
      <c r="BG112" s="10"/>
      <c r="BH112" s="10"/>
      <c r="BI112" s="10"/>
      <c r="BJ112" s="10"/>
      <c r="BK112" s="10"/>
      <c r="BL112" s="10"/>
      <c r="BM112" s="10"/>
      <c r="BN112" s="10"/>
      <c r="BO112" s="10"/>
      <c r="BP112" s="10"/>
      <c r="BQ112" s="10"/>
      <c r="BR112" s="10"/>
      <c r="BS112" s="10"/>
      <c r="BT112" s="10"/>
      <c r="BU112" s="10"/>
    </row>
    <row r="113" spans="1:73" ht="135" customHeight="1" x14ac:dyDescent="0.2">
      <c r="A113" s="214"/>
      <c r="B113" s="241"/>
      <c r="C113" s="241"/>
      <c r="D113" s="183"/>
      <c r="E113" s="181"/>
      <c r="F113" s="181"/>
      <c r="G113" s="181"/>
      <c r="H113" s="197"/>
      <c r="I113" s="242"/>
      <c r="J113" s="217"/>
      <c r="K113" s="183"/>
      <c r="L113" s="185"/>
      <c r="M113" s="205"/>
      <c r="N113" s="206"/>
      <c r="O113" s="203"/>
      <c r="P113" s="239">
        <f>IF(NOT(ISERROR(MATCH(O113,_xlfn.ANCHORARRAY(#REF!),0))),#REF!&amp;"Por favor no seleccionar los criterios de impacto",O113)</f>
        <v>0</v>
      </c>
      <c r="Q113" s="205"/>
      <c r="R113" s="206"/>
      <c r="S113" s="207"/>
      <c r="T113" s="152">
        <v>3</v>
      </c>
      <c r="U113" s="166" t="s">
        <v>480</v>
      </c>
      <c r="V113" s="153" t="str">
        <f>IF(OR(W113="Preventivo",W113="Detectivo"),"Probabilidad",IF(W113="Correctivo","Impacto",""))</f>
        <v>Probabilidad</v>
      </c>
      <c r="W113" s="145" t="s">
        <v>13</v>
      </c>
      <c r="X113" s="145" t="s">
        <v>8</v>
      </c>
      <c r="Y113" s="155" t="str">
        <f t="shared" si="185"/>
        <v>40%</v>
      </c>
      <c r="Z113" s="145" t="s">
        <v>18</v>
      </c>
      <c r="AA113" s="145" t="s">
        <v>21</v>
      </c>
      <c r="AB113" s="145" t="s">
        <v>112</v>
      </c>
      <c r="AC113" s="156">
        <f>IFERROR(IF(AND(V112="Probabilidad",V113="Probabilidad"),(AE112-(+AE112*Y113)),IF(AND(V112="Impacto",V113="Probabilidad"),(AE111-(+AE111*Y113)),IF(V113="Impacto",AE112,""))),"")</f>
        <v>0.18</v>
      </c>
      <c r="AD113" s="157" t="str">
        <f t="shared" si="186"/>
        <v>Muy Baja</v>
      </c>
      <c r="AE113" s="158">
        <f t="shared" si="187"/>
        <v>0.18</v>
      </c>
      <c r="AF113" s="157" t="str">
        <f t="shared" si="188"/>
        <v>Catastrófico</v>
      </c>
      <c r="AG113" s="158">
        <f>IFERROR(IF(AND(V112="Impacto",V113="Impacto"),(AG112-(+AG112*Y113)),IF(AND(V112="Probabilidad",V113="Impacto"),(AG111-(+AG111*Y113)),IF(V113="Probabilidad",AG112,""))),"")</f>
        <v>1</v>
      </c>
      <c r="AH113" s="159" t="str">
        <f t="shared" si="189"/>
        <v>Extremo</v>
      </c>
      <c r="AI113" s="151" t="s">
        <v>117</v>
      </c>
      <c r="AJ113" s="269"/>
      <c r="AK113" s="185"/>
      <c r="AL113" s="187"/>
      <c r="AM113" s="195"/>
      <c r="AN113" s="183"/>
      <c r="AO113" s="190"/>
      <c r="AP113" s="269"/>
      <c r="AQ113" s="10"/>
      <c r="AR113" s="10"/>
      <c r="AS113" s="10"/>
      <c r="AT113" s="10"/>
      <c r="AU113" s="10"/>
      <c r="AV113" s="10"/>
      <c r="AW113" s="10"/>
      <c r="AX113" s="10"/>
      <c r="AY113" s="10"/>
      <c r="AZ113" s="10"/>
      <c r="BA113" s="10"/>
      <c r="BB113" s="10"/>
      <c r="BC113" s="10"/>
      <c r="BD113" s="10"/>
      <c r="BE113" s="10"/>
      <c r="BF113" s="10"/>
      <c r="BG113" s="10"/>
      <c r="BH113" s="10"/>
      <c r="BI113" s="10"/>
      <c r="BJ113" s="10"/>
      <c r="BK113" s="10"/>
      <c r="BL113" s="10"/>
      <c r="BM113" s="10"/>
      <c r="BN113" s="10"/>
      <c r="BO113" s="10"/>
      <c r="BP113" s="10"/>
      <c r="BQ113" s="10"/>
      <c r="BR113" s="10"/>
      <c r="BS113" s="10"/>
      <c r="BT113" s="10"/>
      <c r="BU113" s="10"/>
    </row>
    <row r="114" spans="1:73" ht="15" customHeight="1" x14ac:dyDescent="0.2">
      <c r="A114" s="214"/>
      <c r="B114" s="241"/>
      <c r="C114" s="241"/>
      <c r="D114" s="183"/>
      <c r="E114" s="181"/>
      <c r="F114" s="181"/>
      <c r="G114" s="181"/>
      <c r="H114" s="197"/>
      <c r="I114" s="242"/>
      <c r="J114" s="217"/>
      <c r="K114" s="183"/>
      <c r="L114" s="185"/>
      <c r="M114" s="205"/>
      <c r="N114" s="206"/>
      <c r="O114" s="203"/>
      <c r="P114" s="239">
        <f>IF(NOT(ISERROR(MATCH(O114,_xlfn.ANCHORARRAY(#REF!),0))),#REF!&amp;"Por favor no seleccionar los criterios de impacto",O114)</f>
        <v>0</v>
      </c>
      <c r="Q114" s="205"/>
      <c r="R114" s="206"/>
      <c r="S114" s="207"/>
      <c r="T114" s="152">
        <v>4</v>
      </c>
      <c r="U114" s="160"/>
      <c r="V114" s="153" t="str">
        <f t="shared" ref="V114:V116" si="190">IF(OR(W114="Preventivo",W114="Detectivo"),"Probabilidad",IF(W114="Correctivo","Impacto",""))</f>
        <v/>
      </c>
      <c r="W114" s="154"/>
      <c r="X114" s="154"/>
      <c r="Y114" s="155" t="str">
        <f t="shared" si="185"/>
        <v/>
      </c>
      <c r="Z114" s="154"/>
      <c r="AA114" s="154"/>
      <c r="AB114" s="154"/>
      <c r="AC114" s="156" t="str">
        <f t="shared" ref="AC114:AC116" si="191">IFERROR(IF(AND(V113="Probabilidad",V114="Probabilidad"),(AE113-(+AE113*Y114)),IF(AND(V113="Impacto",V114="Probabilidad"),(AE112-(+AE112*Y114)),IF(V114="Impacto",AE113,""))),"")</f>
        <v/>
      </c>
      <c r="AD114" s="157" t="str">
        <f t="shared" si="186"/>
        <v/>
      </c>
      <c r="AE114" s="158" t="str">
        <f t="shared" si="187"/>
        <v/>
      </c>
      <c r="AF114" s="157" t="str">
        <f t="shared" si="188"/>
        <v/>
      </c>
      <c r="AG114" s="158" t="str">
        <f t="shared" ref="AG114:AG116" si="192">IFERROR(IF(AND(V113="Impacto",V114="Impacto"),(AG113-(+AG113*Y114)),IF(AND(V113="Probabilidad",V114="Impacto"),(AG112-(+AG112*Y114)),IF(V114="Probabilidad",AG113,""))),"")</f>
        <v/>
      </c>
      <c r="AH114" s="159" t="str">
        <f>IFERROR(IF(OR(AND(AD114="Muy Baja",AF114="Leve"),AND(AD114="Muy Baja",AF114="Menor"),AND(AD114="Baja",AF114="Leve")),"Bajo",IF(OR(AND(AD114="Muy baja",AF114="Moderado"),AND(AD114="Baja",AF114="Menor"),AND(AD114="Baja",AF114="Moderado"),AND(AD114="Media",AF114="Leve"),AND(AD114="Media",AF114="Menor"),AND(AD114="Media",AF114="Moderado"),AND(AD114="Alta",AF114="Leve"),AND(AD114="Alta",AF114="Menor")),"Moderado",IF(OR(AND(AD114="Muy Baja",AF114="Mayor"),AND(AD114="Baja",AF114="Mayor"),AND(AD114="Media",AF114="Mayor"),AND(AD114="Alta",AF114="Moderado"),AND(AD114="Alta",AF114="Mayor"),AND(AD114="Muy Alta",AF114="Leve"),AND(AD114="Muy Alta",AF114="Menor"),AND(AD114="Muy Alta",AF114="Moderado"),AND(AD114="Muy Alta",AF114="Mayor")),"Alto",IF(OR(AND(AD114="Muy Baja",AF114="Catastrófico"),AND(AD114="Baja",AF114="Catastrófico"),AND(AD114="Media",AF114="Catastrófico"),AND(AD114="Alta",AF114="Catastrófico"),AND(AD114="Muy Alta",AF114="Catastrófico")),"Extremo","")))),"")</f>
        <v/>
      </c>
      <c r="AI114" s="161"/>
      <c r="AJ114" s="269"/>
      <c r="AK114" s="185"/>
      <c r="AL114" s="187"/>
      <c r="AM114" s="195"/>
      <c r="AN114" s="183"/>
      <c r="AO114" s="190"/>
      <c r="AP114" s="269"/>
      <c r="AQ114" s="10"/>
      <c r="AR114" s="10"/>
      <c r="AS114" s="10"/>
      <c r="AT114" s="10"/>
      <c r="AU114" s="10"/>
      <c r="AV114" s="10"/>
      <c r="AW114" s="10"/>
      <c r="AX114" s="10"/>
      <c r="AY114" s="10"/>
      <c r="AZ114" s="10"/>
      <c r="BA114" s="10"/>
      <c r="BB114" s="10"/>
      <c r="BC114" s="10"/>
      <c r="BD114" s="10"/>
      <c r="BE114" s="10"/>
      <c r="BF114" s="10"/>
      <c r="BG114" s="10"/>
      <c r="BH114" s="10"/>
      <c r="BI114" s="10"/>
      <c r="BJ114" s="10"/>
      <c r="BK114" s="10"/>
      <c r="BL114" s="10"/>
      <c r="BM114" s="10"/>
      <c r="BN114" s="10"/>
      <c r="BO114" s="10"/>
      <c r="BP114" s="10"/>
      <c r="BQ114" s="10"/>
      <c r="BR114" s="10"/>
      <c r="BS114" s="10"/>
      <c r="BT114" s="10"/>
      <c r="BU114" s="10"/>
    </row>
    <row r="115" spans="1:73" ht="15" customHeight="1" x14ac:dyDescent="0.2">
      <c r="A115" s="214"/>
      <c r="B115" s="241"/>
      <c r="C115" s="241"/>
      <c r="D115" s="183"/>
      <c r="E115" s="181"/>
      <c r="F115" s="181"/>
      <c r="G115" s="181"/>
      <c r="H115" s="197"/>
      <c r="I115" s="242"/>
      <c r="J115" s="217"/>
      <c r="K115" s="183"/>
      <c r="L115" s="185"/>
      <c r="M115" s="205"/>
      <c r="N115" s="206"/>
      <c r="O115" s="203"/>
      <c r="P115" s="239">
        <f>IF(NOT(ISERROR(MATCH(O115,_xlfn.ANCHORARRAY(#REF!),0))),N118&amp;"Por favor no seleccionar los criterios de impacto",O115)</f>
        <v>0</v>
      </c>
      <c r="Q115" s="205"/>
      <c r="R115" s="206"/>
      <c r="S115" s="207"/>
      <c r="T115" s="152">
        <v>5</v>
      </c>
      <c r="U115" s="160"/>
      <c r="V115" s="153" t="str">
        <f t="shared" si="190"/>
        <v/>
      </c>
      <c r="W115" s="154"/>
      <c r="X115" s="154"/>
      <c r="Y115" s="155" t="str">
        <f t="shared" si="185"/>
        <v/>
      </c>
      <c r="Z115" s="154"/>
      <c r="AA115" s="154"/>
      <c r="AB115" s="154"/>
      <c r="AC115" s="156" t="str">
        <f t="shared" si="191"/>
        <v/>
      </c>
      <c r="AD115" s="157" t="str">
        <f t="shared" si="186"/>
        <v/>
      </c>
      <c r="AE115" s="158" t="str">
        <f t="shared" si="187"/>
        <v/>
      </c>
      <c r="AF115" s="157" t="str">
        <f t="shared" si="188"/>
        <v/>
      </c>
      <c r="AG115" s="158" t="str">
        <f t="shared" si="192"/>
        <v/>
      </c>
      <c r="AH115" s="159" t="str">
        <f t="shared" ref="AH115:AH116" si="193">IFERROR(IF(OR(AND(AD115="Muy Baja",AF115="Leve"),AND(AD115="Muy Baja",AF115="Menor"),AND(AD115="Baja",AF115="Leve")),"Bajo",IF(OR(AND(AD115="Muy baja",AF115="Moderado"),AND(AD115="Baja",AF115="Menor"),AND(AD115="Baja",AF115="Moderado"),AND(AD115="Media",AF115="Leve"),AND(AD115="Media",AF115="Menor"),AND(AD115="Media",AF115="Moderado"),AND(AD115="Alta",AF115="Leve"),AND(AD115="Alta",AF115="Menor")),"Moderado",IF(OR(AND(AD115="Muy Baja",AF115="Mayor"),AND(AD115="Baja",AF115="Mayor"),AND(AD115="Media",AF115="Mayor"),AND(AD115="Alta",AF115="Moderado"),AND(AD115="Alta",AF115="Mayor"),AND(AD115="Muy Alta",AF115="Leve"),AND(AD115="Muy Alta",AF115="Menor"),AND(AD115="Muy Alta",AF115="Moderado"),AND(AD115="Muy Alta",AF115="Mayor")),"Alto",IF(OR(AND(AD115="Muy Baja",AF115="Catastrófico"),AND(AD115="Baja",AF115="Catastrófico"),AND(AD115="Media",AF115="Catastrófico"),AND(AD115="Alta",AF115="Catastrófico"),AND(AD115="Muy Alta",AF115="Catastrófico")),"Extremo","")))),"")</f>
        <v/>
      </c>
      <c r="AI115" s="161"/>
      <c r="AJ115" s="269"/>
      <c r="AK115" s="185"/>
      <c r="AL115" s="187"/>
      <c r="AM115" s="195"/>
      <c r="AN115" s="183"/>
      <c r="AO115" s="190"/>
      <c r="AP115" s="269"/>
      <c r="AQ115" s="10"/>
      <c r="AR115" s="10"/>
      <c r="AS115" s="10"/>
      <c r="AT115" s="10"/>
      <c r="AU115" s="10"/>
      <c r="AV115" s="10"/>
      <c r="AW115" s="10"/>
      <c r="AX115" s="10"/>
      <c r="AY115" s="10"/>
      <c r="AZ115" s="10"/>
      <c r="BA115" s="10"/>
      <c r="BB115" s="10"/>
      <c r="BC115" s="10"/>
      <c r="BD115" s="10"/>
      <c r="BE115" s="10"/>
      <c r="BF115" s="10"/>
      <c r="BG115" s="10"/>
      <c r="BH115" s="10"/>
      <c r="BI115" s="10"/>
      <c r="BJ115" s="10"/>
      <c r="BK115" s="10"/>
      <c r="BL115" s="10"/>
      <c r="BM115" s="10"/>
      <c r="BN115" s="10"/>
      <c r="BO115" s="10"/>
      <c r="BP115" s="10"/>
      <c r="BQ115" s="10"/>
      <c r="BR115" s="10"/>
      <c r="BS115" s="10"/>
      <c r="BT115" s="10"/>
      <c r="BU115" s="10"/>
    </row>
    <row r="116" spans="1:73" ht="15" customHeight="1" x14ac:dyDescent="0.2">
      <c r="A116" s="214"/>
      <c r="B116" s="241"/>
      <c r="C116" s="241"/>
      <c r="D116" s="183"/>
      <c r="E116" s="181"/>
      <c r="F116" s="181"/>
      <c r="G116" s="181"/>
      <c r="H116" s="197"/>
      <c r="I116" s="242"/>
      <c r="J116" s="217"/>
      <c r="K116" s="183"/>
      <c r="L116" s="185"/>
      <c r="M116" s="205"/>
      <c r="N116" s="206"/>
      <c r="O116" s="203"/>
      <c r="P116" s="239">
        <f>IF(NOT(ISERROR(MATCH(O116,_xlfn.ANCHORARRAY(#REF!),0))),N119&amp;"Por favor no seleccionar los criterios de impacto",O116)</f>
        <v>0</v>
      </c>
      <c r="Q116" s="205"/>
      <c r="R116" s="206"/>
      <c r="S116" s="207"/>
      <c r="T116" s="152">
        <v>6</v>
      </c>
      <c r="U116" s="160"/>
      <c r="V116" s="153" t="str">
        <f t="shared" si="190"/>
        <v/>
      </c>
      <c r="W116" s="154"/>
      <c r="X116" s="154"/>
      <c r="Y116" s="155" t="str">
        <f t="shared" si="185"/>
        <v/>
      </c>
      <c r="Z116" s="154"/>
      <c r="AA116" s="154"/>
      <c r="AB116" s="154"/>
      <c r="AC116" s="156" t="str">
        <f t="shared" si="191"/>
        <v/>
      </c>
      <c r="AD116" s="157" t="str">
        <f t="shared" si="186"/>
        <v/>
      </c>
      <c r="AE116" s="158" t="str">
        <f t="shared" si="187"/>
        <v/>
      </c>
      <c r="AF116" s="157" t="str">
        <f t="shared" si="188"/>
        <v/>
      </c>
      <c r="AG116" s="158" t="str">
        <f t="shared" si="192"/>
        <v/>
      </c>
      <c r="AH116" s="159" t="str">
        <f t="shared" si="193"/>
        <v/>
      </c>
      <c r="AI116" s="161"/>
      <c r="AJ116" s="269"/>
      <c r="AK116" s="185"/>
      <c r="AL116" s="187"/>
      <c r="AM116" s="195"/>
      <c r="AN116" s="183"/>
      <c r="AO116" s="191"/>
      <c r="AP116" s="269"/>
      <c r="AQ116" s="10"/>
      <c r="AR116" s="10"/>
      <c r="AS116" s="10"/>
      <c r="AT116" s="10"/>
      <c r="AU116" s="10"/>
      <c r="AV116" s="10"/>
      <c r="AW116" s="10"/>
      <c r="AX116" s="10"/>
      <c r="AY116" s="10"/>
      <c r="AZ116" s="10"/>
      <c r="BA116" s="10"/>
      <c r="BB116" s="10"/>
      <c r="BC116" s="10"/>
      <c r="BD116" s="10"/>
      <c r="BE116" s="10"/>
      <c r="BF116" s="10"/>
      <c r="BG116" s="10"/>
      <c r="BH116" s="10"/>
      <c r="BI116" s="10"/>
      <c r="BJ116" s="10"/>
      <c r="BK116" s="10"/>
      <c r="BL116" s="10"/>
      <c r="BM116" s="10"/>
      <c r="BN116" s="10"/>
      <c r="BO116" s="10"/>
      <c r="BP116" s="10"/>
      <c r="BQ116" s="10"/>
      <c r="BR116" s="10"/>
      <c r="BS116" s="10"/>
      <c r="BT116" s="10"/>
      <c r="BU116" s="10"/>
    </row>
    <row r="117" spans="1:73" ht="180" customHeight="1" x14ac:dyDescent="0.2">
      <c r="A117" s="214">
        <v>21</v>
      </c>
      <c r="B117" s="243" t="s">
        <v>248</v>
      </c>
      <c r="C117" s="243" t="s">
        <v>472</v>
      </c>
      <c r="D117" s="184" t="s">
        <v>266</v>
      </c>
      <c r="E117" s="181" t="s">
        <v>490</v>
      </c>
      <c r="F117" s="181" t="s">
        <v>491</v>
      </c>
      <c r="G117" s="181" t="s">
        <v>492</v>
      </c>
      <c r="H117" s="181" t="s">
        <v>493</v>
      </c>
      <c r="I117" s="242" t="s">
        <v>494</v>
      </c>
      <c r="J117" s="217" t="s">
        <v>237</v>
      </c>
      <c r="K117" s="183" t="s">
        <v>242</v>
      </c>
      <c r="L117" s="185">
        <v>36311</v>
      </c>
      <c r="M117" s="205" t="str">
        <f t="shared" ref="M117" si="194">IF(L117&lt;=0,"",IF(L117&lt;=2,"Muy Baja",IF(L117&lt;=24,"Baja",IF(L117&lt;=500,"Media",IF(L117&lt;=5000,"Alta","Muy Alta")))))</f>
        <v>Muy Alta</v>
      </c>
      <c r="N117" s="206">
        <f t="shared" ref="N117" si="195">IF(M117="","",IF(M117="Muy Baja",0.2,IF(M117="Baja",0.4,IF(M117="Media",0.6,IF(M117="Alta",0.8,IF(M117="Muy Alta",1,))))))</f>
        <v>1</v>
      </c>
      <c r="O117" s="203" t="s">
        <v>136</v>
      </c>
      <c r="P117" s="239" t="str">
        <f>IF(NOT(ISERROR(MATCH(O117,'Tabla Impacto'!$B$221:$B$223,0))),'Tabla Impacto'!$F$223&amp;"Por favor no seleccionar los criterios de impacto(Afectación Económica o presupuestal y Pérdida Reputacional)",O117)</f>
        <v xml:space="preserve">     El riesgo afecta la imagen de la entidad a nivel nacional, con efecto publicitarios sostenible a nivel país</v>
      </c>
      <c r="Q117" s="205" t="str">
        <f>IF(OR(P117='Tabla Impacto'!$C$11,P117='Tabla Impacto'!$D$11),"Leve",IF(OR(P117='Tabla Impacto'!$C$12,P117='Tabla Impacto'!$D$12),"Menor",IF(OR(P117='Tabla Impacto'!$C$13,P117='Tabla Impacto'!$D$13),"Moderado",IF(OR(P117='Tabla Impacto'!$C$14,P117='Tabla Impacto'!$D$14),"Mayor",IF(OR(P117='Tabla Impacto'!$C$15,P117='Tabla Impacto'!$D$15),"Catastrófico","")))))</f>
        <v>Catastrófico</v>
      </c>
      <c r="R117" s="206">
        <f t="shared" ref="R117" si="196">IF(Q117="","",IF(Q117="Leve",0.2,IF(Q117="Menor",0.4,IF(Q117="Moderado",0.6,IF(Q117="Mayor",0.8,IF(Q117="Catastrófico",1,))))))</f>
        <v>1</v>
      </c>
      <c r="S117" s="207" t="str">
        <f t="shared" ref="S117" si="197">IF(OR(AND(M117="Muy Baja",Q117="Leve"),AND(M117="Muy Baja",Q117="Menor"),AND(M117="Baja",Q117="Leve")),"Bajo",IF(OR(AND(M117="Muy baja",Q117="Moderado"),AND(M117="Baja",Q117="Menor"),AND(M117="Baja",Q117="Moderado"),AND(M117="Media",Q117="Leve"),AND(M117="Media",Q117="Menor"),AND(M117="Media",Q117="Moderado"),AND(M117="Alta",Q117="Leve"),AND(M117="Alta",Q117="Menor")),"Moderado",IF(OR(AND(M117="Muy Baja",Q117="Mayor"),AND(M117="Baja",Q117="Mayor"),AND(M117="Media",Q117="Mayor"),AND(M117="Alta",Q117="Moderado"),AND(M117="Alta",Q117="Mayor"),AND(M117="Muy Alta",Q117="Leve"),AND(M117="Muy Alta",Q117="Menor"),AND(M117="Muy Alta",Q117="Moderado"),AND(M117="Muy Alta",Q117="Mayor")),"Alto",IF(OR(AND(M117="Muy Baja",Q117="Catastrófico"),AND(M117="Baja",Q117="Catastrófico"),AND(M117="Media",Q117="Catastrófico"),AND(M117="Alta",Q117="Catastrófico"),AND(M117="Muy Alta",Q117="Catastrófico")),"Extremo",""))))</f>
        <v>Extremo</v>
      </c>
      <c r="T117" s="152">
        <v>1</v>
      </c>
      <c r="U117" s="166" t="s">
        <v>495</v>
      </c>
      <c r="V117" s="153" t="str">
        <f>IF(OR(W117="Preventivo",W117="Detectivo"),"Probabilidad",IF(W117="Correctivo","Impacto",""))</f>
        <v>Probabilidad</v>
      </c>
      <c r="W117" s="145" t="s">
        <v>13</v>
      </c>
      <c r="X117" s="145" t="s">
        <v>8</v>
      </c>
      <c r="Y117" s="155" t="str">
        <f>IF(AND(W117="Preventivo",X117="Automático"),"50%",IF(AND(W117="Preventivo",X117="Manual"),"40%",IF(AND(W117="Detectivo",X117="Automático"),"40%",IF(AND(W117="Detectivo",X117="Manual"),"30%",IF(AND(W117="Correctivo",X117="Automático"),"35%",IF(AND(W117="Correctivo",X117="Manual"),"25%",""))))))</f>
        <v>40%</v>
      </c>
      <c r="Z117" s="145" t="s">
        <v>18</v>
      </c>
      <c r="AA117" s="145" t="s">
        <v>21</v>
      </c>
      <c r="AB117" s="145" t="s">
        <v>112</v>
      </c>
      <c r="AC117" s="156">
        <f>IFERROR(IF(V117="Probabilidad",(N117-(+N117*Y117)),IF(V117="Impacto",N117,"")),"")</f>
        <v>0.6</v>
      </c>
      <c r="AD117" s="157" t="str">
        <f>IFERROR(IF(AC117="","",IF(AC117&lt;=0.2,"Muy Baja",IF(AC117&lt;=0.4,"Baja",IF(AC117&lt;=0.6,"Media",IF(AC117&lt;=0.8,"Alta","Muy Alta"))))),"")</f>
        <v>Media</v>
      </c>
      <c r="AE117" s="158">
        <f>+AC117</f>
        <v>0.6</v>
      </c>
      <c r="AF117" s="157" t="str">
        <f>IFERROR(IF(AG117="","",IF(AG117&lt;=0.2,"Leve",IF(AG117&lt;=0.4,"Menor",IF(AG117&lt;=0.6,"Moderado",IF(AG117&lt;=0.8,"Mayor","Catastrófico"))))),"")</f>
        <v>Catastrófico</v>
      </c>
      <c r="AG117" s="158">
        <f>IFERROR(IF(V117="Impacto",(R117-(+R117*Y117)),IF(V117="Probabilidad",R117,"")),"")</f>
        <v>1</v>
      </c>
      <c r="AH117" s="159" t="str">
        <f>IFERROR(IF(OR(AND(AD117="Muy Baja",AF117="Leve"),AND(AD117="Muy Baja",AF117="Menor"),AND(AD117="Baja",AF117="Leve")),"Bajo",IF(OR(AND(AD117="Muy baja",AF117="Moderado"),AND(AD117="Baja",AF117="Menor"),AND(AD117="Baja",AF117="Moderado"),AND(AD117="Media",AF117="Leve"),AND(AD117="Media",AF117="Menor"),AND(AD117="Media",AF117="Moderado"),AND(AD117="Alta",AF117="Leve"),AND(AD117="Alta",AF117="Menor")),"Moderado",IF(OR(AND(AD117="Muy Baja",AF117="Mayor"),AND(AD117="Baja",AF117="Mayor"),AND(AD117="Media",AF117="Mayor"),AND(AD117="Alta",AF117="Moderado"),AND(AD117="Alta",AF117="Mayor"),AND(AD117="Muy Alta",AF117="Leve"),AND(AD117="Muy Alta",AF117="Menor"),AND(AD117="Muy Alta",AF117="Moderado"),AND(AD117="Muy Alta",AF117="Mayor")),"Alto",IF(OR(AND(AD117="Muy Baja",AF117="Catastrófico"),AND(AD117="Baja",AF117="Catastrófico"),AND(AD117="Media",AF117="Catastrófico"),AND(AD117="Alta",AF117="Catastrófico"),AND(AD117="Muy Alta",AF117="Catastrófico")),"Extremo","")))),"")</f>
        <v>Extremo</v>
      </c>
      <c r="AI117" s="151" t="s">
        <v>117</v>
      </c>
      <c r="AJ117" s="269" t="s">
        <v>497</v>
      </c>
      <c r="AK117" s="186" t="s">
        <v>196</v>
      </c>
      <c r="AL117" s="188">
        <v>45293</v>
      </c>
      <c r="AM117" s="194">
        <v>45657</v>
      </c>
      <c r="AN117" s="184" t="s">
        <v>498</v>
      </c>
      <c r="AO117" s="190" t="s">
        <v>269</v>
      </c>
      <c r="AP117" s="269" t="s">
        <v>499</v>
      </c>
      <c r="AQ117" s="10"/>
      <c r="AR117" s="10"/>
      <c r="AS117" s="10"/>
      <c r="AT117" s="10"/>
      <c r="AU117" s="10"/>
      <c r="AV117" s="10"/>
      <c r="AW117" s="10"/>
      <c r="AX117" s="10"/>
      <c r="AY117" s="10"/>
      <c r="AZ117" s="10"/>
      <c r="BA117" s="10"/>
      <c r="BB117" s="10"/>
      <c r="BC117" s="10"/>
      <c r="BD117" s="10"/>
      <c r="BE117" s="10"/>
      <c r="BF117" s="10"/>
      <c r="BG117" s="10"/>
      <c r="BH117" s="10"/>
      <c r="BI117" s="10"/>
      <c r="BJ117" s="10"/>
      <c r="BK117" s="10"/>
      <c r="BL117" s="10"/>
      <c r="BM117" s="10"/>
      <c r="BN117" s="10"/>
      <c r="BO117" s="10"/>
      <c r="BP117" s="10"/>
      <c r="BQ117" s="10"/>
      <c r="BR117" s="10"/>
      <c r="BS117" s="10"/>
      <c r="BT117" s="10"/>
      <c r="BU117" s="10"/>
    </row>
    <row r="118" spans="1:73" ht="171" x14ac:dyDescent="0.2">
      <c r="A118" s="214"/>
      <c r="B118" s="241"/>
      <c r="C118" s="241"/>
      <c r="D118" s="183"/>
      <c r="E118" s="181"/>
      <c r="F118" s="181"/>
      <c r="G118" s="181"/>
      <c r="H118" s="181"/>
      <c r="I118" s="242"/>
      <c r="J118" s="217"/>
      <c r="K118" s="183"/>
      <c r="L118" s="185"/>
      <c r="M118" s="205"/>
      <c r="N118" s="206"/>
      <c r="O118" s="203"/>
      <c r="P118" s="239">
        <f>IF(NOT(ISERROR(MATCH(O118,_xlfn.ANCHORARRAY(#REF!),0))),#REF!&amp;"Por favor no seleccionar los criterios de impacto",O118)</f>
        <v>0</v>
      </c>
      <c r="Q118" s="205"/>
      <c r="R118" s="206"/>
      <c r="S118" s="207"/>
      <c r="T118" s="152">
        <v>2</v>
      </c>
      <c r="U118" s="166" t="s">
        <v>496</v>
      </c>
      <c r="V118" s="153" t="str">
        <f>IF(OR(W118="Preventivo",W118="Detectivo"),"Probabilidad",IF(W118="Correctivo","Impacto",""))</f>
        <v>Probabilidad</v>
      </c>
      <c r="W118" s="145" t="s">
        <v>13</v>
      </c>
      <c r="X118" s="145" t="s">
        <v>9</v>
      </c>
      <c r="Y118" s="155" t="str">
        <f t="shared" ref="Y118:Y122" si="198">IF(AND(W118="Preventivo",X118="Automático"),"50%",IF(AND(W118="Preventivo",X118="Manual"),"40%",IF(AND(W118="Detectivo",X118="Automático"),"40%",IF(AND(W118="Detectivo",X118="Manual"),"30%",IF(AND(W118="Correctivo",X118="Automático"),"35%",IF(AND(W118="Correctivo",X118="Manual"),"25%",""))))))</f>
        <v>50%</v>
      </c>
      <c r="Z118" s="145" t="s">
        <v>18</v>
      </c>
      <c r="AA118" s="145" t="s">
        <v>21</v>
      </c>
      <c r="AB118" s="145" t="s">
        <v>112</v>
      </c>
      <c r="AC118" s="156">
        <f>IFERROR(IF(AND(V117="Probabilidad",V118="Probabilidad"),(AE117-(+AE117*Y118)),IF(V118="Probabilidad",(N117-(+N117*Y118)),IF(V118="Impacto",AE117,""))),"")</f>
        <v>0.3</v>
      </c>
      <c r="AD118" s="157" t="str">
        <f t="shared" ref="AD118:AD122" si="199">IFERROR(IF(AC118="","",IF(AC118&lt;=0.2,"Muy Baja",IF(AC118&lt;=0.4,"Baja",IF(AC118&lt;=0.6,"Media",IF(AC118&lt;=0.8,"Alta","Muy Alta"))))),"")</f>
        <v>Baja</v>
      </c>
      <c r="AE118" s="158">
        <f t="shared" ref="AE118:AE122" si="200">+AC118</f>
        <v>0.3</v>
      </c>
      <c r="AF118" s="157" t="str">
        <f t="shared" ref="AF118:AF122" si="201">IFERROR(IF(AG118="","",IF(AG118&lt;=0.2,"Leve",IF(AG118&lt;=0.4,"Menor",IF(AG118&lt;=0.6,"Moderado",IF(AG118&lt;=0.8,"Mayor","Catastrófico"))))),"")</f>
        <v>Catastrófico</v>
      </c>
      <c r="AG118" s="158">
        <f>IFERROR(IF(AND(V117="Impacto",V118="Impacto"),(AG117-(+AG117*Y118)),IF(V118="Impacto",(R117-(+R117*Y118)),IF(V118="Probabilidad",AG117,""))),"")</f>
        <v>1</v>
      </c>
      <c r="AH118" s="159" t="str">
        <f t="shared" ref="AH118:AH119" si="202">IFERROR(IF(OR(AND(AD118="Muy Baja",AF118="Leve"),AND(AD118="Muy Baja",AF118="Menor"),AND(AD118="Baja",AF118="Leve")),"Bajo",IF(OR(AND(AD118="Muy baja",AF118="Moderado"),AND(AD118="Baja",AF118="Menor"),AND(AD118="Baja",AF118="Moderado"),AND(AD118="Media",AF118="Leve"),AND(AD118="Media",AF118="Menor"),AND(AD118="Media",AF118="Moderado"),AND(AD118="Alta",AF118="Leve"),AND(AD118="Alta",AF118="Menor")),"Moderado",IF(OR(AND(AD118="Muy Baja",AF118="Mayor"),AND(AD118="Baja",AF118="Mayor"),AND(AD118="Media",AF118="Mayor"),AND(AD118="Alta",AF118="Moderado"),AND(AD118="Alta",AF118="Mayor"),AND(AD118="Muy Alta",AF118="Leve"),AND(AD118="Muy Alta",AF118="Menor"),AND(AD118="Muy Alta",AF118="Moderado"),AND(AD118="Muy Alta",AF118="Mayor")),"Alto",IF(OR(AND(AD118="Muy Baja",AF118="Catastrófico"),AND(AD118="Baja",AF118="Catastrófico"),AND(AD118="Media",AF118="Catastrófico"),AND(AD118="Alta",AF118="Catastrófico"),AND(AD118="Muy Alta",AF118="Catastrófico")),"Extremo","")))),"")</f>
        <v>Extremo</v>
      </c>
      <c r="AI118" s="151" t="s">
        <v>117</v>
      </c>
      <c r="AJ118" s="269"/>
      <c r="AK118" s="185"/>
      <c r="AL118" s="187"/>
      <c r="AM118" s="195"/>
      <c r="AN118" s="183"/>
      <c r="AO118" s="190"/>
      <c r="AP118" s="269"/>
      <c r="AQ118" s="10"/>
      <c r="AR118" s="10"/>
      <c r="AS118" s="10"/>
      <c r="AT118" s="10"/>
      <c r="AU118" s="10"/>
      <c r="AV118" s="10"/>
      <c r="AW118" s="10"/>
      <c r="AX118" s="10"/>
      <c r="AY118" s="10"/>
      <c r="AZ118" s="10"/>
      <c r="BA118" s="10"/>
      <c r="BB118" s="10"/>
      <c r="BC118" s="10"/>
      <c r="BD118" s="10"/>
      <c r="BE118" s="10"/>
      <c r="BF118" s="10"/>
      <c r="BG118" s="10"/>
      <c r="BH118" s="10"/>
      <c r="BI118" s="10"/>
      <c r="BJ118" s="10"/>
      <c r="BK118" s="10"/>
      <c r="BL118" s="10"/>
      <c r="BM118" s="10"/>
      <c r="BN118" s="10"/>
      <c r="BO118" s="10"/>
      <c r="BP118" s="10"/>
      <c r="BQ118" s="10"/>
      <c r="BR118" s="10"/>
      <c r="BS118" s="10"/>
      <c r="BT118" s="10"/>
      <c r="BU118" s="10"/>
    </row>
    <row r="119" spans="1:73" ht="15" customHeight="1" x14ac:dyDescent="0.2">
      <c r="A119" s="214"/>
      <c r="B119" s="241"/>
      <c r="C119" s="241"/>
      <c r="D119" s="183"/>
      <c r="E119" s="181"/>
      <c r="F119" s="181"/>
      <c r="G119" s="181"/>
      <c r="H119" s="181"/>
      <c r="I119" s="242"/>
      <c r="J119" s="217"/>
      <c r="K119" s="183"/>
      <c r="L119" s="185"/>
      <c r="M119" s="205"/>
      <c r="N119" s="206"/>
      <c r="O119" s="203"/>
      <c r="P119" s="239">
        <f>IF(NOT(ISERROR(MATCH(O119,_xlfn.ANCHORARRAY(#REF!),0))),#REF!&amp;"Por favor no seleccionar los criterios de impacto",O119)</f>
        <v>0</v>
      </c>
      <c r="Q119" s="205"/>
      <c r="R119" s="206"/>
      <c r="S119" s="207"/>
      <c r="T119" s="152">
        <v>3</v>
      </c>
      <c r="U119" s="167"/>
      <c r="V119" s="153" t="str">
        <f>IF(OR(W119="Preventivo",W119="Detectivo"),"Probabilidad",IF(W119="Correctivo","Impacto",""))</f>
        <v/>
      </c>
      <c r="W119" s="154"/>
      <c r="X119" s="154"/>
      <c r="Y119" s="155" t="str">
        <f t="shared" si="198"/>
        <v/>
      </c>
      <c r="Z119" s="154"/>
      <c r="AA119" s="154"/>
      <c r="AB119" s="154"/>
      <c r="AC119" s="156" t="str">
        <f>IFERROR(IF(AND(V118="Probabilidad",V119="Probabilidad"),(AE118-(+AE118*Y119)),IF(AND(V118="Impacto",V119="Probabilidad"),(AE117-(+AE117*Y119)),IF(V119="Impacto",AE118,""))),"")</f>
        <v/>
      </c>
      <c r="AD119" s="157" t="str">
        <f t="shared" si="199"/>
        <v/>
      </c>
      <c r="AE119" s="158" t="str">
        <f t="shared" si="200"/>
        <v/>
      </c>
      <c r="AF119" s="157" t="str">
        <f t="shared" si="201"/>
        <v/>
      </c>
      <c r="AG119" s="158" t="str">
        <f>IFERROR(IF(AND(V118="Impacto",V119="Impacto"),(AG118-(+AG118*Y119)),IF(AND(V118="Probabilidad",V119="Impacto"),(AG117-(+AG117*Y119)),IF(V119="Probabilidad",AG118,""))),"")</f>
        <v/>
      </c>
      <c r="AH119" s="159" t="str">
        <f t="shared" si="202"/>
        <v/>
      </c>
      <c r="AI119" s="161"/>
      <c r="AJ119" s="269"/>
      <c r="AK119" s="185"/>
      <c r="AL119" s="187"/>
      <c r="AM119" s="195"/>
      <c r="AN119" s="183"/>
      <c r="AO119" s="190"/>
      <c r="AP119" s="269"/>
      <c r="AQ119" s="10"/>
      <c r="AR119" s="10"/>
      <c r="AS119" s="10"/>
      <c r="AT119" s="10"/>
      <c r="AU119" s="10"/>
      <c r="AV119" s="10"/>
      <c r="AW119" s="10"/>
      <c r="AX119" s="10"/>
      <c r="AY119" s="10"/>
      <c r="AZ119" s="10"/>
      <c r="BA119" s="10"/>
      <c r="BB119" s="10"/>
      <c r="BC119" s="10"/>
      <c r="BD119" s="10"/>
      <c r="BE119" s="10"/>
      <c r="BF119" s="10"/>
      <c r="BG119" s="10"/>
      <c r="BH119" s="10"/>
      <c r="BI119" s="10"/>
      <c r="BJ119" s="10"/>
      <c r="BK119" s="10"/>
      <c r="BL119" s="10"/>
      <c r="BM119" s="10"/>
      <c r="BN119" s="10"/>
      <c r="BO119" s="10"/>
      <c r="BP119" s="10"/>
      <c r="BQ119" s="10"/>
      <c r="BR119" s="10"/>
      <c r="BS119" s="10"/>
      <c r="BT119" s="10"/>
      <c r="BU119" s="10"/>
    </row>
    <row r="120" spans="1:73" ht="15" customHeight="1" x14ac:dyDescent="0.2">
      <c r="A120" s="214"/>
      <c r="B120" s="241"/>
      <c r="C120" s="241"/>
      <c r="D120" s="183"/>
      <c r="E120" s="181"/>
      <c r="F120" s="181"/>
      <c r="G120" s="181"/>
      <c r="H120" s="181"/>
      <c r="I120" s="242"/>
      <c r="J120" s="217"/>
      <c r="K120" s="183"/>
      <c r="L120" s="185"/>
      <c r="M120" s="205"/>
      <c r="N120" s="206"/>
      <c r="O120" s="203"/>
      <c r="P120" s="239">
        <f>IF(NOT(ISERROR(MATCH(O120,_xlfn.ANCHORARRAY(#REF!),0))),#REF!&amp;"Por favor no seleccionar los criterios de impacto",O120)</f>
        <v>0</v>
      </c>
      <c r="Q120" s="205"/>
      <c r="R120" s="206"/>
      <c r="S120" s="207"/>
      <c r="T120" s="152">
        <v>4</v>
      </c>
      <c r="U120" s="160"/>
      <c r="V120" s="153" t="str">
        <f t="shared" ref="V120:V122" si="203">IF(OR(W120="Preventivo",W120="Detectivo"),"Probabilidad",IF(W120="Correctivo","Impacto",""))</f>
        <v/>
      </c>
      <c r="W120" s="154"/>
      <c r="X120" s="154"/>
      <c r="Y120" s="155" t="str">
        <f t="shared" si="198"/>
        <v/>
      </c>
      <c r="Z120" s="154"/>
      <c r="AA120" s="154"/>
      <c r="AB120" s="154"/>
      <c r="AC120" s="156" t="str">
        <f t="shared" ref="AC120:AC122" si="204">IFERROR(IF(AND(V119="Probabilidad",V120="Probabilidad"),(AE119-(+AE119*Y120)),IF(AND(V119="Impacto",V120="Probabilidad"),(AE118-(+AE118*Y120)),IF(V120="Impacto",AE119,""))),"")</f>
        <v/>
      </c>
      <c r="AD120" s="157" t="str">
        <f t="shared" si="199"/>
        <v/>
      </c>
      <c r="AE120" s="158" t="str">
        <f t="shared" si="200"/>
        <v/>
      </c>
      <c r="AF120" s="157" t="str">
        <f t="shared" si="201"/>
        <v/>
      </c>
      <c r="AG120" s="158" t="str">
        <f t="shared" ref="AG120:AG122" si="205">IFERROR(IF(AND(V119="Impacto",V120="Impacto"),(AG119-(+AG119*Y120)),IF(AND(V119="Probabilidad",V120="Impacto"),(AG118-(+AG118*Y120)),IF(V120="Probabilidad",AG119,""))),"")</f>
        <v/>
      </c>
      <c r="AH120" s="159" t="str">
        <f>IFERROR(IF(OR(AND(AD120="Muy Baja",AF120="Leve"),AND(AD120="Muy Baja",AF120="Menor"),AND(AD120="Baja",AF120="Leve")),"Bajo",IF(OR(AND(AD120="Muy baja",AF120="Moderado"),AND(AD120="Baja",AF120="Menor"),AND(AD120="Baja",AF120="Moderado"),AND(AD120="Media",AF120="Leve"),AND(AD120="Media",AF120="Menor"),AND(AD120="Media",AF120="Moderado"),AND(AD120="Alta",AF120="Leve"),AND(AD120="Alta",AF120="Menor")),"Moderado",IF(OR(AND(AD120="Muy Baja",AF120="Mayor"),AND(AD120="Baja",AF120="Mayor"),AND(AD120="Media",AF120="Mayor"),AND(AD120="Alta",AF120="Moderado"),AND(AD120="Alta",AF120="Mayor"),AND(AD120="Muy Alta",AF120="Leve"),AND(AD120="Muy Alta",AF120="Menor"),AND(AD120="Muy Alta",AF120="Moderado"),AND(AD120="Muy Alta",AF120="Mayor")),"Alto",IF(OR(AND(AD120="Muy Baja",AF120="Catastrófico"),AND(AD120="Baja",AF120="Catastrófico"),AND(AD120="Media",AF120="Catastrófico"),AND(AD120="Alta",AF120="Catastrófico"),AND(AD120="Muy Alta",AF120="Catastrófico")),"Extremo","")))),"")</f>
        <v/>
      </c>
      <c r="AI120" s="161"/>
      <c r="AJ120" s="269"/>
      <c r="AK120" s="185"/>
      <c r="AL120" s="187"/>
      <c r="AM120" s="195"/>
      <c r="AN120" s="183"/>
      <c r="AO120" s="190"/>
      <c r="AP120" s="269"/>
      <c r="AQ120" s="10"/>
      <c r="AR120" s="10"/>
      <c r="AS120" s="10"/>
      <c r="AT120" s="10"/>
      <c r="AU120" s="10"/>
      <c r="AV120" s="10"/>
      <c r="AW120" s="10"/>
      <c r="AX120" s="10"/>
      <c r="AY120" s="10"/>
      <c r="AZ120" s="10"/>
      <c r="BA120" s="10"/>
      <c r="BB120" s="10"/>
      <c r="BC120" s="10"/>
      <c r="BD120" s="10"/>
      <c r="BE120" s="10"/>
      <c r="BF120" s="10"/>
      <c r="BG120" s="10"/>
      <c r="BH120" s="10"/>
      <c r="BI120" s="10"/>
      <c r="BJ120" s="10"/>
      <c r="BK120" s="10"/>
      <c r="BL120" s="10"/>
      <c r="BM120" s="10"/>
      <c r="BN120" s="10"/>
      <c r="BO120" s="10"/>
      <c r="BP120" s="10"/>
      <c r="BQ120" s="10"/>
      <c r="BR120" s="10"/>
      <c r="BS120" s="10"/>
      <c r="BT120" s="10"/>
      <c r="BU120" s="10"/>
    </row>
    <row r="121" spans="1:73" ht="15" customHeight="1" x14ac:dyDescent="0.2">
      <c r="A121" s="214"/>
      <c r="B121" s="241"/>
      <c r="C121" s="241"/>
      <c r="D121" s="183"/>
      <c r="E121" s="181"/>
      <c r="F121" s="181"/>
      <c r="G121" s="181"/>
      <c r="H121" s="181"/>
      <c r="I121" s="242"/>
      <c r="J121" s="217"/>
      <c r="K121" s="183"/>
      <c r="L121" s="185"/>
      <c r="M121" s="205"/>
      <c r="N121" s="206"/>
      <c r="O121" s="203"/>
      <c r="P121" s="239">
        <f>IF(NOT(ISERROR(MATCH(O121,_xlfn.ANCHORARRAY(#REF!),0))),N124&amp;"Por favor no seleccionar los criterios de impacto",O121)</f>
        <v>0</v>
      </c>
      <c r="Q121" s="205"/>
      <c r="R121" s="206"/>
      <c r="S121" s="207"/>
      <c r="T121" s="152">
        <v>5</v>
      </c>
      <c r="U121" s="160"/>
      <c r="V121" s="153" t="str">
        <f t="shared" si="203"/>
        <v/>
      </c>
      <c r="W121" s="154"/>
      <c r="X121" s="154"/>
      <c r="Y121" s="155" t="str">
        <f t="shared" si="198"/>
        <v/>
      </c>
      <c r="Z121" s="154"/>
      <c r="AA121" s="154"/>
      <c r="AB121" s="154"/>
      <c r="AC121" s="156" t="str">
        <f t="shared" si="204"/>
        <v/>
      </c>
      <c r="AD121" s="157" t="str">
        <f t="shared" si="199"/>
        <v/>
      </c>
      <c r="AE121" s="158" t="str">
        <f t="shared" si="200"/>
        <v/>
      </c>
      <c r="AF121" s="157" t="str">
        <f t="shared" si="201"/>
        <v/>
      </c>
      <c r="AG121" s="158" t="str">
        <f t="shared" si="205"/>
        <v/>
      </c>
      <c r="AH121" s="159" t="str">
        <f t="shared" ref="AH121:AH122" si="206">IFERROR(IF(OR(AND(AD121="Muy Baja",AF121="Leve"),AND(AD121="Muy Baja",AF121="Menor"),AND(AD121="Baja",AF121="Leve")),"Bajo",IF(OR(AND(AD121="Muy baja",AF121="Moderado"),AND(AD121="Baja",AF121="Menor"),AND(AD121="Baja",AF121="Moderado"),AND(AD121="Media",AF121="Leve"),AND(AD121="Media",AF121="Menor"),AND(AD121="Media",AF121="Moderado"),AND(AD121="Alta",AF121="Leve"),AND(AD121="Alta",AF121="Menor")),"Moderado",IF(OR(AND(AD121="Muy Baja",AF121="Mayor"),AND(AD121="Baja",AF121="Mayor"),AND(AD121="Media",AF121="Mayor"),AND(AD121="Alta",AF121="Moderado"),AND(AD121="Alta",AF121="Mayor"),AND(AD121="Muy Alta",AF121="Leve"),AND(AD121="Muy Alta",AF121="Menor"),AND(AD121="Muy Alta",AF121="Moderado"),AND(AD121="Muy Alta",AF121="Mayor")),"Alto",IF(OR(AND(AD121="Muy Baja",AF121="Catastrófico"),AND(AD121="Baja",AF121="Catastrófico"),AND(AD121="Media",AF121="Catastrófico"),AND(AD121="Alta",AF121="Catastrófico"),AND(AD121="Muy Alta",AF121="Catastrófico")),"Extremo","")))),"")</f>
        <v/>
      </c>
      <c r="AI121" s="161"/>
      <c r="AJ121" s="269"/>
      <c r="AK121" s="185"/>
      <c r="AL121" s="187"/>
      <c r="AM121" s="195"/>
      <c r="AN121" s="183"/>
      <c r="AO121" s="190"/>
      <c r="AP121" s="269"/>
      <c r="AQ121" s="10"/>
      <c r="AR121" s="10"/>
      <c r="AS121" s="10"/>
      <c r="AT121" s="10"/>
      <c r="AU121" s="10"/>
      <c r="AV121" s="10"/>
      <c r="AW121" s="10"/>
      <c r="AX121" s="10"/>
      <c r="AY121" s="10"/>
      <c r="AZ121" s="10"/>
      <c r="BA121" s="10"/>
      <c r="BB121" s="10"/>
      <c r="BC121" s="10"/>
      <c r="BD121" s="10"/>
      <c r="BE121" s="10"/>
      <c r="BF121" s="10"/>
      <c r="BG121" s="10"/>
      <c r="BH121" s="10"/>
      <c r="BI121" s="10"/>
      <c r="BJ121" s="10"/>
      <c r="BK121" s="10"/>
      <c r="BL121" s="10"/>
      <c r="BM121" s="10"/>
      <c r="BN121" s="10"/>
      <c r="BO121" s="10"/>
      <c r="BP121" s="10"/>
      <c r="BQ121" s="10"/>
      <c r="BR121" s="10"/>
      <c r="BS121" s="10"/>
      <c r="BT121" s="10"/>
      <c r="BU121" s="10"/>
    </row>
    <row r="122" spans="1:73" ht="15" customHeight="1" x14ac:dyDescent="0.2">
      <c r="A122" s="214"/>
      <c r="B122" s="241"/>
      <c r="C122" s="241"/>
      <c r="D122" s="183"/>
      <c r="E122" s="181"/>
      <c r="F122" s="181"/>
      <c r="G122" s="181"/>
      <c r="H122" s="181"/>
      <c r="I122" s="242"/>
      <c r="J122" s="217"/>
      <c r="K122" s="183"/>
      <c r="L122" s="185"/>
      <c r="M122" s="205"/>
      <c r="N122" s="206"/>
      <c r="O122" s="203"/>
      <c r="P122" s="239">
        <f>IF(NOT(ISERROR(MATCH(O122,_xlfn.ANCHORARRAY(#REF!),0))),N125&amp;"Por favor no seleccionar los criterios de impacto",O122)</f>
        <v>0</v>
      </c>
      <c r="Q122" s="205"/>
      <c r="R122" s="206"/>
      <c r="S122" s="207"/>
      <c r="T122" s="152">
        <v>6</v>
      </c>
      <c r="U122" s="160"/>
      <c r="V122" s="153" t="str">
        <f t="shared" si="203"/>
        <v/>
      </c>
      <c r="W122" s="154"/>
      <c r="X122" s="154"/>
      <c r="Y122" s="155" t="str">
        <f t="shared" si="198"/>
        <v/>
      </c>
      <c r="Z122" s="154"/>
      <c r="AA122" s="154"/>
      <c r="AB122" s="154"/>
      <c r="AC122" s="156" t="str">
        <f t="shared" si="204"/>
        <v/>
      </c>
      <c r="AD122" s="157" t="str">
        <f t="shared" si="199"/>
        <v/>
      </c>
      <c r="AE122" s="158" t="str">
        <f t="shared" si="200"/>
        <v/>
      </c>
      <c r="AF122" s="157" t="str">
        <f t="shared" si="201"/>
        <v/>
      </c>
      <c r="AG122" s="158" t="str">
        <f t="shared" si="205"/>
        <v/>
      </c>
      <c r="AH122" s="159" t="str">
        <f t="shared" si="206"/>
        <v/>
      </c>
      <c r="AI122" s="161"/>
      <c r="AJ122" s="269"/>
      <c r="AK122" s="185"/>
      <c r="AL122" s="187"/>
      <c r="AM122" s="195"/>
      <c r="AN122" s="183"/>
      <c r="AO122" s="191"/>
      <c r="AP122" s="269"/>
      <c r="AQ122" s="10"/>
      <c r="AR122" s="10"/>
      <c r="AS122" s="10"/>
      <c r="AT122" s="10"/>
      <c r="AU122" s="10"/>
      <c r="AV122" s="10"/>
      <c r="AW122" s="10"/>
      <c r="AX122" s="10"/>
      <c r="AY122" s="10"/>
      <c r="AZ122" s="10"/>
      <c r="BA122" s="10"/>
      <c r="BB122" s="10"/>
      <c r="BC122" s="10"/>
      <c r="BD122" s="10"/>
      <c r="BE122" s="10"/>
      <c r="BF122" s="10"/>
      <c r="BG122" s="10"/>
      <c r="BH122" s="10"/>
      <c r="BI122" s="10"/>
      <c r="BJ122" s="10"/>
      <c r="BK122" s="10"/>
      <c r="BL122" s="10"/>
      <c r="BM122" s="10"/>
      <c r="BN122" s="10"/>
      <c r="BO122" s="10"/>
      <c r="BP122" s="10"/>
      <c r="BQ122" s="10"/>
      <c r="BR122" s="10"/>
      <c r="BS122" s="10"/>
      <c r="BT122" s="10"/>
      <c r="BU122" s="10"/>
    </row>
    <row r="123" spans="1:73" ht="256.5" customHeight="1" x14ac:dyDescent="0.2">
      <c r="A123" s="214">
        <v>22</v>
      </c>
      <c r="B123" s="243" t="s">
        <v>248</v>
      </c>
      <c r="C123" s="244" t="s">
        <v>500</v>
      </c>
      <c r="D123" s="184" t="s">
        <v>266</v>
      </c>
      <c r="E123" s="180" t="s">
        <v>501</v>
      </c>
      <c r="F123" s="180" t="s">
        <v>502</v>
      </c>
      <c r="G123" s="180" t="s">
        <v>503</v>
      </c>
      <c r="H123" s="196" t="s">
        <v>504</v>
      </c>
      <c r="I123" s="246" t="s">
        <v>505</v>
      </c>
      <c r="J123" s="218" t="s">
        <v>230</v>
      </c>
      <c r="K123" s="184" t="s">
        <v>227</v>
      </c>
      <c r="L123" s="186">
        <v>687000</v>
      </c>
      <c r="M123" s="205" t="str">
        <f t="shared" ref="M123" si="207">IF(L123&lt;=0,"",IF(L123&lt;=2,"Muy Baja",IF(L123&lt;=24,"Baja",IF(L123&lt;=500,"Media",IF(L123&lt;=5000,"Alta","Muy Alta")))))</f>
        <v>Muy Alta</v>
      </c>
      <c r="N123" s="206">
        <f t="shared" ref="N123" si="208">IF(M123="","",IF(M123="Muy Baja",0.2,IF(M123="Baja",0.4,IF(M123="Media",0.6,IF(M123="Alta",0.8,IF(M123="Muy Alta",1,))))))</f>
        <v>1</v>
      </c>
      <c r="O123" s="211" t="s">
        <v>136</v>
      </c>
      <c r="P123" s="239" t="str">
        <f>IF(NOT(ISERROR(MATCH(O123,'Tabla Impacto'!$B$221:$B$223,0))),'Tabla Impacto'!$F$223&amp;"Por favor no seleccionar los criterios de impacto(Afectación Económica o presupuestal y Pérdida Reputacional)",O123)</f>
        <v xml:space="preserve">     El riesgo afecta la imagen de la entidad a nivel nacional, con efecto publicitarios sostenible a nivel país</v>
      </c>
      <c r="Q123" s="205" t="str">
        <f>IF(OR(P123='Tabla Impacto'!$C$11,P123='Tabla Impacto'!$D$11),"Leve",IF(OR(P123='Tabla Impacto'!$C$12,P123='Tabla Impacto'!$D$12),"Menor",IF(OR(P123='Tabla Impacto'!$C$13,P123='Tabla Impacto'!$D$13),"Moderado",IF(OR(P123='Tabla Impacto'!$C$14,P123='Tabla Impacto'!$D$14),"Mayor",IF(OR(P123='Tabla Impacto'!$C$15,P123='Tabla Impacto'!$D$15),"Catastrófico","")))))</f>
        <v>Catastrófico</v>
      </c>
      <c r="R123" s="206">
        <f t="shared" ref="R123" si="209">IF(Q123="","",IF(Q123="Leve",0.2,IF(Q123="Menor",0.4,IF(Q123="Moderado",0.6,IF(Q123="Mayor",0.8,IF(Q123="Catastrófico",1,))))))</f>
        <v>1</v>
      </c>
      <c r="S123" s="207" t="str">
        <f t="shared" ref="S123" si="210">IF(OR(AND(M123="Muy Baja",Q123="Leve"),AND(M123="Muy Baja",Q123="Menor"),AND(M123="Baja",Q123="Leve")),"Bajo",IF(OR(AND(M123="Muy baja",Q123="Moderado"),AND(M123="Baja",Q123="Menor"),AND(M123="Baja",Q123="Moderado"),AND(M123="Media",Q123="Leve"),AND(M123="Media",Q123="Menor"),AND(M123="Media",Q123="Moderado"),AND(M123="Alta",Q123="Leve"),AND(M123="Alta",Q123="Menor")),"Moderado",IF(OR(AND(M123="Muy Baja",Q123="Mayor"),AND(M123="Baja",Q123="Mayor"),AND(M123="Media",Q123="Mayor"),AND(M123="Alta",Q123="Moderado"),AND(M123="Alta",Q123="Mayor"),AND(M123="Muy Alta",Q123="Leve"),AND(M123="Muy Alta",Q123="Menor"),AND(M123="Muy Alta",Q123="Moderado"),AND(M123="Muy Alta",Q123="Mayor")),"Alto",IF(OR(AND(M123="Muy Baja",Q123="Catastrófico"),AND(M123="Baja",Q123="Catastrófico"),AND(M123="Media",Q123="Catastrófico"),AND(M123="Alta",Q123="Catastrófico"),AND(M123="Muy Alta",Q123="Catastrófico")),"Extremo",""))))</f>
        <v>Extremo</v>
      </c>
      <c r="T123" s="152">
        <v>1</v>
      </c>
      <c r="U123" s="173" t="s">
        <v>506</v>
      </c>
      <c r="V123" s="153" t="str">
        <f>IF(OR(W123="Preventivo",W123="Detectivo"),"Probabilidad",IF(W123="Correctivo","Impacto",""))</f>
        <v>Probabilidad</v>
      </c>
      <c r="W123" s="145" t="s">
        <v>13</v>
      </c>
      <c r="X123" s="145" t="s">
        <v>8</v>
      </c>
      <c r="Y123" s="155" t="str">
        <f>IF(AND(W123="Preventivo",X123="Automático"),"50%",IF(AND(W123="Preventivo",X123="Manual"),"40%",IF(AND(W123="Detectivo",X123="Automático"),"40%",IF(AND(W123="Detectivo",X123="Manual"),"30%",IF(AND(W123="Correctivo",X123="Automático"),"35%",IF(AND(W123="Correctivo",X123="Manual"),"25%",""))))))</f>
        <v>40%</v>
      </c>
      <c r="Z123" s="145" t="s">
        <v>18</v>
      </c>
      <c r="AA123" s="145" t="s">
        <v>21</v>
      </c>
      <c r="AB123" s="145" t="s">
        <v>112</v>
      </c>
      <c r="AC123" s="156">
        <f>IFERROR(IF(V123="Probabilidad",(N123-(+N123*Y123)),IF(V123="Impacto",N123,"")),"")</f>
        <v>0.6</v>
      </c>
      <c r="AD123" s="157" t="str">
        <f>IFERROR(IF(AC123="","",IF(AC123&lt;=0.2,"Muy Baja",IF(AC123&lt;=0.4,"Baja",IF(AC123&lt;=0.6,"Media",IF(AC123&lt;=0.8,"Alta","Muy Alta"))))),"")</f>
        <v>Media</v>
      </c>
      <c r="AE123" s="158">
        <f>+AC123</f>
        <v>0.6</v>
      </c>
      <c r="AF123" s="157" t="str">
        <f>IFERROR(IF(AG123="","",IF(AG123&lt;=0.2,"Leve",IF(AG123&lt;=0.4,"Menor",IF(AG123&lt;=0.6,"Moderado",IF(AG123&lt;=0.8,"Mayor","Catastrófico"))))),"")</f>
        <v>Catastrófico</v>
      </c>
      <c r="AG123" s="158">
        <f>IFERROR(IF(V123="Impacto",(R123-(+R123*Y123)),IF(V123="Probabilidad",R123,"")),"")</f>
        <v>1</v>
      </c>
      <c r="AH123" s="159" t="str">
        <f>IFERROR(IF(OR(AND(AD123="Muy Baja",AF123="Leve"),AND(AD123="Muy Baja",AF123="Menor"),AND(AD123="Baja",AF123="Leve")),"Bajo",IF(OR(AND(AD123="Muy baja",AF123="Moderado"),AND(AD123="Baja",AF123="Menor"),AND(AD123="Baja",AF123="Moderado"),AND(AD123="Media",AF123="Leve"),AND(AD123="Media",AF123="Menor"),AND(AD123="Media",AF123="Moderado"),AND(AD123="Alta",AF123="Leve"),AND(AD123="Alta",AF123="Menor")),"Moderado",IF(OR(AND(AD123="Muy Baja",AF123="Mayor"),AND(AD123="Baja",AF123="Mayor"),AND(AD123="Media",AF123="Mayor"),AND(AD123="Alta",AF123="Moderado"),AND(AD123="Alta",AF123="Mayor"),AND(AD123="Muy Alta",AF123="Leve"),AND(AD123="Muy Alta",AF123="Menor"),AND(AD123="Muy Alta",AF123="Moderado"),AND(AD123="Muy Alta",AF123="Mayor")),"Alto",IF(OR(AND(AD123="Muy Baja",AF123="Catastrófico"),AND(AD123="Baja",AF123="Catastrófico"),AND(AD123="Media",AF123="Catastrófico"),AND(AD123="Alta",AF123="Catastrófico"),AND(AD123="Muy Alta",AF123="Catastrófico")),"Extremo","")))),"")</f>
        <v>Extremo</v>
      </c>
      <c r="AI123" s="151" t="s">
        <v>117</v>
      </c>
      <c r="AJ123" s="180" t="s">
        <v>508</v>
      </c>
      <c r="AK123" s="186" t="s">
        <v>188</v>
      </c>
      <c r="AL123" s="188">
        <v>45293</v>
      </c>
      <c r="AM123" s="194">
        <v>45657</v>
      </c>
      <c r="AN123" s="184" t="s">
        <v>284</v>
      </c>
      <c r="AO123" s="186" t="s">
        <v>269</v>
      </c>
      <c r="AP123" s="180" t="s">
        <v>509</v>
      </c>
      <c r="AQ123" s="10"/>
      <c r="AR123" s="10"/>
      <c r="AS123" s="10"/>
      <c r="AT123" s="10"/>
      <c r="AU123" s="10"/>
      <c r="AV123" s="10"/>
      <c r="AW123" s="10"/>
      <c r="AX123" s="10"/>
      <c r="AY123" s="10"/>
      <c r="AZ123" s="10"/>
      <c r="BA123" s="10"/>
      <c r="BB123" s="10"/>
      <c r="BC123" s="10"/>
      <c r="BD123" s="10"/>
      <c r="BE123" s="10"/>
      <c r="BF123" s="10"/>
      <c r="BG123" s="10"/>
      <c r="BH123" s="10"/>
      <c r="BI123" s="10"/>
      <c r="BJ123" s="10"/>
      <c r="BK123" s="10"/>
      <c r="BL123" s="10"/>
      <c r="BM123" s="10"/>
      <c r="BN123" s="10"/>
      <c r="BO123" s="10"/>
      <c r="BP123" s="10"/>
      <c r="BQ123" s="10"/>
      <c r="BR123" s="10"/>
      <c r="BS123" s="10"/>
      <c r="BT123" s="10"/>
      <c r="BU123" s="10"/>
    </row>
    <row r="124" spans="1:73" ht="112.5" customHeight="1" x14ac:dyDescent="0.2">
      <c r="A124" s="214"/>
      <c r="B124" s="241"/>
      <c r="C124" s="245"/>
      <c r="D124" s="183"/>
      <c r="E124" s="181"/>
      <c r="F124" s="181"/>
      <c r="G124" s="181"/>
      <c r="H124" s="197"/>
      <c r="I124" s="242"/>
      <c r="J124" s="217"/>
      <c r="K124" s="183"/>
      <c r="L124" s="185"/>
      <c r="M124" s="205"/>
      <c r="N124" s="206"/>
      <c r="O124" s="203"/>
      <c r="P124" s="239">
        <f>IF(NOT(ISERROR(MATCH(O124,_xlfn.ANCHORARRAY(#REF!),0))),#REF!&amp;"Por favor no seleccionar los criterios de impacto",O124)</f>
        <v>0</v>
      </c>
      <c r="Q124" s="205"/>
      <c r="R124" s="206"/>
      <c r="S124" s="207"/>
      <c r="T124" s="152">
        <v>2</v>
      </c>
      <c r="U124" s="166" t="s">
        <v>507</v>
      </c>
      <c r="V124" s="153" t="str">
        <f>IF(OR(W124="Preventivo",W124="Detectivo"),"Probabilidad",IF(W124="Correctivo","Impacto",""))</f>
        <v>Probabilidad</v>
      </c>
      <c r="W124" s="154" t="s">
        <v>13</v>
      </c>
      <c r="X124" s="154" t="s">
        <v>8</v>
      </c>
      <c r="Y124" s="155" t="str">
        <f t="shared" ref="Y124:Y128" si="211">IF(AND(W124="Preventivo",X124="Automático"),"50%",IF(AND(W124="Preventivo",X124="Manual"),"40%",IF(AND(W124="Detectivo",X124="Automático"),"40%",IF(AND(W124="Detectivo",X124="Manual"),"30%",IF(AND(W124="Correctivo",X124="Automático"),"35%",IF(AND(W124="Correctivo",X124="Manual"),"25%",""))))))</f>
        <v>40%</v>
      </c>
      <c r="Z124" s="154" t="s">
        <v>18</v>
      </c>
      <c r="AA124" s="154" t="s">
        <v>21</v>
      </c>
      <c r="AB124" s="154" t="s">
        <v>112</v>
      </c>
      <c r="AC124" s="156">
        <f>IFERROR(IF(AND(V123="Probabilidad",V124="Probabilidad"),(AE123-(+AE123*Y124)),IF(V124="Probabilidad",(N123-(+N123*Y124)),IF(V124="Impacto",AE123,""))),"")</f>
        <v>0.36</v>
      </c>
      <c r="AD124" s="157" t="str">
        <f t="shared" ref="AD124:AD128" si="212">IFERROR(IF(AC124="","",IF(AC124&lt;=0.2,"Muy Baja",IF(AC124&lt;=0.4,"Baja",IF(AC124&lt;=0.6,"Media",IF(AC124&lt;=0.8,"Alta","Muy Alta"))))),"")</f>
        <v>Baja</v>
      </c>
      <c r="AE124" s="158">
        <f t="shared" ref="AE124:AE128" si="213">+AC124</f>
        <v>0.36</v>
      </c>
      <c r="AF124" s="157" t="str">
        <f t="shared" ref="AF124:AF128" si="214">IFERROR(IF(AG124="","",IF(AG124&lt;=0.2,"Leve",IF(AG124&lt;=0.4,"Menor",IF(AG124&lt;=0.6,"Moderado",IF(AG124&lt;=0.8,"Mayor","Catastrófico"))))),"")</f>
        <v>Catastrófico</v>
      </c>
      <c r="AG124" s="158">
        <f>IFERROR(IF(AND(V123="Impacto",V124="Impacto"),(AG123-(+AG123*Y124)),IF(V124="Impacto",(R123-(+R123*Y124)),IF(V124="Probabilidad",AG123,""))),"")</f>
        <v>1</v>
      </c>
      <c r="AH124" s="159" t="str">
        <f t="shared" ref="AH124:AH125" si="215">IFERROR(IF(OR(AND(AD124="Muy Baja",AF124="Leve"),AND(AD124="Muy Baja",AF124="Menor"),AND(AD124="Baja",AF124="Leve")),"Bajo",IF(OR(AND(AD124="Muy baja",AF124="Moderado"),AND(AD124="Baja",AF124="Menor"),AND(AD124="Baja",AF124="Moderado"),AND(AD124="Media",AF124="Leve"),AND(AD124="Media",AF124="Menor"),AND(AD124="Media",AF124="Moderado"),AND(AD124="Alta",AF124="Leve"),AND(AD124="Alta",AF124="Menor")),"Moderado",IF(OR(AND(AD124="Muy Baja",AF124="Mayor"),AND(AD124="Baja",AF124="Mayor"),AND(AD124="Media",AF124="Mayor"),AND(AD124="Alta",AF124="Moderado"),AND(AD124="Alta",AF124="Mayor"),AND(AD124="Muy Alta",AF124="Leve"),AND(AD124="Muy Alta",AF124="Menor"),AND(AD124="Muy Alta",AF124="Moderado"),AND(AD124="Muy Alta",AF124="Mayor")),"Alto",IF(OR(AND(AD124="Muy Baja",AF124="Catastrófico"),AND(AD124="Baja",AF124="Catastrófico"),AND(AD124="Media",AF124="Catastrófico"),AND(AD124="Alta",AF124="Catastrófico"),AND(AD124="Muy Alta",AF124="Catastrófico")),"Extremo","")))),"")</f>
        <v>Extremo</v>
      </c>
      <c r="AI124" s="161" t="s">
        <v>117</v>
      </c>
      <c r="AJ124" s="181"/>
      <c r="AK124" s="185"/>
      <c r="AL124" s="187"/>
      <c r="AM124" s="195"/>
      <c r="AN124" s="183"/>
      <c r="AO124" s="185"/>
      <c r="AP124" s="181"/>
    </row>
    <row r="125" spans="1:73" ht="15" customHeight="1" x14ac:dyDescent="0.2">
      <c r="A125" s="214"/>
      <c r="B125" s="241"/>
      <c r="C125" s="245"/>
      <c r="D125" s="183"/>
      <c r="E125" s="181"/>
      <c r="F125" s="181"/>
      <c r="G125" s="181"/>
      <c r="H125" s="197"/>
      <c r="I125" s="242"/>
      <c r="J125" s="217"/>
      <c r="K125" s="183"/>
      <c r="L125" s="185"/>
      <c r="M125" s="205"/>
      <c r="N125" s="206"/>
      <c r="O125" s="203"/>
      <c r="P125" s="239">
        <f>IF(NOT(ISERROR(MATCH(O125,_xlfn.ANCHORARRAY(#REF!),0))),#REF!&amp;"Por favor no seleccionar los criterios de impacto",O125)</f>
        <v>0</v>
      </c>
      <c r="Q125" s="205"/>
      <c r="R125" s="206"/>
      <c r="S125" s="207"/>
      <c r="T125" s="152">
        <v>3</v>
      </c>
      <c r="U125" s="167"/>
      <c r="V125" s="153" t="str">
        <f>IF(OR(W125="Preventivo",W125="Detectivo"),"Probabilidad",IF(W125="Correctivo","Impacto",""))</f>
        <v/>
      </c>
      <c r="W125" s="154"/>
      <c r="X125" s="154"/>
      <c r="Y125" s="155" t="str">
        <f t="shared" si="211"/>
        <v/>
      </c>
      <c r="Z125" s="154"/>
      <c r="AA125" s="154"/>
      <c r="AB125" s="154"/>
      <c r="AC125" s="156" t="str">
        <f>IFERROR(IF(AND(V124="Probabilidad",V125="Probabilidad"),(AE124-(+AE124*Y125)),IF(AND(V124="Impacto",V125="Probabilidad"),(AE123-(+AE123*Y125)),IF(V125="Impacto",AE124,""))),"")</f>
        <v/>
      </c>
      <c r="AD125" s="157" t="str">
        <f t="shared" si="212"/>
        <v/>
      </c>
      <c r="AE125" s="158" t="str">
        <f t="shared" si="213"/>
        <v/>
      </c>
      <c r="AF125" s="157" t="str">
        <f t="shared" si="214"/>
        <v/>
      </c>
      <c r="AG125" s="158" t="str">
        <f>IFERROR(IF(AND(V124="Impacto",V125="Impacto"),(AG124-(+AG124*Y125)),IF(AND(V124="Probabilidad",V125="Impacto"),(AG123-(+AG123*Y125)),IF(V125="Probabilidad",AG124,""))),"")</f>
        <v/>
      </c>
      <c r="AH125" s="159" t="str">
        <f t="shared" si="215"/>
        <v/>
      </c>
      <c r="AI125" s="161"/>
      <c r="AJ125" s="181"/>
      <c r="AK125" s="185"/>
      <c r="AL125" s="187"/>
      <c r="AM125" s="195"/>
      <c r="AN125" s="183"/>
      <c r="AO125" s="185"/>
      <c r="AP125" s="181"/>
    </row>
    <row r="126" spans="1:73" ht="15" customHeight="1" x14ac:dyDescent="0.2">
      <c r="A126" s="214"/>
      <c r="B126" s="241"/>
      <c r="C126" s="245"/>
      <c r="D126" s="183"/>
      <c r="E126" s="181"/>
      <c r="F126" s="181"/>
      <c r="G126" s="181"/>
      <c r="H126" s="197"/>
      <c r="I126" s="242"/>
      <c r="J126" s="217"/>
      <c r="K126" s="183"/>
      <c r="L126" s="185"/>
      <c r="M126" s="205"/>
      <c r="N126" s="206"/>
      <c r="O126" s="203"/>
      <c r="P126" s="239">
        <f>IF(NOT(ISERROR(MATCH(O126,_xlfn.ANCHORARRAY(#REF!),0))),#REF!&amp;"Por favor no seleccionar los criterios de impacto",O126)</f>
        <v>0</v>
      </c>
      <c r="Q126" s="205"/>
      <c r="R126" s="206"/>
      <c r="S126" s="207"/>
      <c r="T126" s="152">
        <v>4</v>
      </c>
      <c r="U126" s="160"/>
      <c r="V126" s="153" t="str">
        <f t="shared" ref="V126:V128" si="216">IF(OR(W126="Preventivo",W126="Detectivo"),"Probabilidad",IF(W126="Correctivo","Impacto",""))</f>
        <v/>
      </c>
      <c r="W126" s="154"/>
      <c r="X126" s="154"/>
      <c r="Y126" s="155" t="str">
        <f t="shared" si="211"/>
        <v/>
      </c>
      <c r="Z126" s="154"/>
      <c r="AA126" s="154"/>
      <c r="AB126" s="154"/>
      <c r="AC126" s="156" t="str">
        <f t="shared" ref="AC126:AC128" si="217">IFERROR(IF(AND(V125="Probabilidad",V126="Probabilidad"),(AE125-(+AE125*Y126)),IF(AND(V125="Impacto",V126="Probabilidad"),(AE124-(+AE124*Y126)),IF(V126="Impacto",AE125,""))),"")</f>
        <v/>
      </c>
      <c r="AD126" s="157" t="str">
        <f t="shared" si="212"/>
        <v/>
      </c>
      <c r="AE126" s="158" t="str">
        <f t="shared" si="213"/>
        <v/>
      </c>
      <c r="AF126" s="157" t="str">
        <f t="shared" si="214"/>
        <v/>
      </c>
      <c r="AG126" s="158" t="str">
        <f t="shared" ref="AG126:AG128" si="218">IFERROR(IF(AND(V125="Impacto",V126="Impacto"),(AG125-(+AG125*Y126)),IF(AND(V125="Probabilidad",V126="Impacto"),(AG124-(+AG124*Y126)),IF(V126="Probabilidad",AG125,""))),"")</f>
        <v/>
      </c>
      <c r="AH126" s="159" t="str">
        <f>IFERROR(IF(OR(AND(AD126="Muy Baja",AF126="Leve"),AND(AD126="Muy Baja",AF126="Menor"),AND(AD126="Baja",AF126="Leve")),"Bajo",IF(OR(AND(AD126="Muy baja",AF126="Moderado"),AND(AD126="Baja",AF126="Menor"),AND(AD126="Baja",AF126="Moderado"),AND(AD126="Media",AF126="Leve"),AND(AD126="Media",AF126="Menor"),AND(AD126="Media",AF126="Moderado"),AND(AD126="Alta",AF126="Leve"),AND(AD126="Alta",AF126="Menor")),"Moderado",IF(OR(AND(AD126="Muy Baja",AF126="Mayor"),AND(AD126="Baja",AF126="Mayor"),AND(AD126="Media",AF126="Mayor"),AND(AD126="Alta",AF126="Moderado"),AND(AD126="Alta",AF126="Mayor"),AND(AD126="Muy Alta",AF126="Leve"),AND(AD126="Muy Alta",AF126="Menor"),AND(AD126="Muy Alta",AF126="Moderado"),AND(AD126="Muy Alta",AF126="Mayor")),"Alto",IF(OR(AND(AD126="Muy Baja",AF126="Catastrófico"),AND(AD126="Baja",AF126="Catastrófico"),AND(AD126="Media",AF126="Catastrófico"),AND(AD126="Alta",AF126="Catastrófico"),AND(AD126="Muy Alta",AF126="Catastrófico")),"Extremo","")))),"")</f>
        <v/>
      </c>
      <c r="AI126" s="161"/>
      <c r="AJ126" s="181"/>
      <c r="AK126" s="185"/>
      <c r="AL126" s="187"/>
      <c r="AM126" s="195"/>
      <c r="AN126" s="183"/>
      <c r="AO126" s="185"/>
      <c r="AP126" s="181"/>
    </row>
    <row r="127" spans="1:73" ht="15" customHeight="1" x14ac:dyDescent="0.2">
      <c r="A127" s="214"/>
      <c r="B127" s="241"/>
      <c r="C127" s="245"/>
      <c r="D127" s="183"/>
      <c r="E127" s="181"/>
      <c r="F127" s="181"/>
      <c r="G127" s="181"/>
      <c r="H127" s="197"/>
      <c r="I127" s="242"/>
      <c r="J127" s="217"/>
      <c r="K127" s="183"/>
      <c r="L127" s="185"/>
      <c r="M127" s="205"/>
      <c r="N127" s="206"/>
      <c r="O127" s="203"/>
      <c r="P127" s="239">
        <f>IF(NOT(ISERROR(MATCH(O127,_xlfn.ANCHORARRAY(#REF!),0))),N130&amp;"Por favor no seleccionar los criterios de impacto",O127)</f>
        <v>0</v>
      </c>
      <c r="Q127" s="205"/>
      <c r="R127" s="206"/>
      <c r="S127" s="207"/>
      <c r="T127" s="152">
        <v>5</v>
      </c>
      <c r="U127" s="160"/>
      <c r="V127" s="153" t="str">
        <f t="shared" si="216"/>
        <v/>
      </c>
      <c r="W127" s="154"/>
      <c r="X127" s="154"/>
      <c r="Y127" s="155" t="str">
        <f t="shared" si="211"/>
        <v/>
      </c>
      <c r="Z127" s="154"/>
      <c r="AA127" s="154"/>
      <c r="AB127" s="154"/>
      <c r="AC127" s="156" t="str">
        <f t="shared" si="217"/>
        <v/>
      </c>
      <c r="AD127" s="157" t="str">
        <f t="shared" si="212"/>
        <v/>
      </c>
      <c r="AE127" s="158" t="str">
        <f t="shared" si="213"/>
        <v/>
      </c>
      <c r="AF127" s="157" t="str">
        <f t="shared" si="214"/>
        <v/>
      </c>
      <c r="AG127" s="158" t="str">
        <f t="shared" si="218"/>
        <v/>
      </c>
      <c r="AH127" s="159" t="str">
        <f t="shared" ref="AH127:AH128" si="219">IFERROR(IF(OR(AND(AD127="Muy Baja",AF127="Leve"),AND(AD127="Muy Baja",AF127="Menor"),AND(AD127="Baja",AF127="Leve")),"Bajo",IF(OR(AND(AD127="Muy baja",AF127="Moderado"),AND(AD127="Baja",AF127="Menor"),AND(AD127="Baja",AF127="Moderado"),AND(AD127="Media",AF127="Leve"),AND(AD127="Media",AF127="Menor"),AND(AD127="Media",AF127="Moderado"),AND(AD127="Alta",AF127="Leve"),AND(AD127="Alta",AF127="Menor")),"Moderado",IF(OR(AND(AD127="Muy Baja",AF127="Mayor"),AND(AD127="Baja",AF127="Mayor"),AND(AD127="Media",AF127="Mayor"),AND(AD127="Alta",AF127="Moderado"),AND(AD127="Alta",AF127="Mayor"),AND(AD127="Muy Alta",AF127="Leve"),AND(AD127="Muy Alta",AF127="Menor"),AND(AD127="Muy Alta",AF127="Moderado"),AND(AD127="Muy Alta",AF127="Mayor")),"Alto",IF(OR(AND(AD127="Muy Baja",AF127="Catastrófico"),AND(AD127="Baja",AF127="Catastrófico"),AND(AD127="Media",AF127="Catastrófico"),AND(AD127="Alta",AF127="Catastrófico"),AND(AD127="Muy Alta",AF127="Catastrófico")),"Extremo","")))),"")</f>
        <v/>
      </c>
      <c r="AI127" s="161"/>
      <c r="AJ127" s="181"/>
      <c r="AK127" s="185"/>
      <c r="AL127" s="187"/>
      <c r="AM127" s="195"/>
      <c r="AN127" s="183"/>
      <c r="AO127" s="185"/>
      <c r="AP127" s="181"/>
    </row>
    <row r="128" spans="1:73" ht="15" customHeight="1" x14ac:dyDescent="0.2">
      <c r="A128" s="214"/>
      <c r="B128" s="241"/>
      <c r="C128" s="245"/>
      <c r="D128" s="183"/>
      <c r="E128" s="181"/>
      <c r="F128" s="181"/>
      <c r="G128" s="181"/>
      <c r="H128" s="197"/>
      <c r="I128" s="242"/>
      <c r="J128" s="217"/>
      <c r="K128" s="183"/>
      <c r="L128" s="185"/>
      <c r="M128" s="205"/>
      <c r="N128" s="206"/>
      <c r="O128" s="203"/>
      <c r="P128" s="239">
        <f>IF(NOT(ISERROR(MATCH(O128,_xlfn.ANCHORARRAY(#REF!),0))),N131&amp;"Por favor no seleccionar los criterios de impacto",O128)</f>
        <v>0</v>
      </c>
      <c r="Q128" s="205"/>
      <c r="R128" s="206"/>
      <c r="S128" s="207"/>
      <c r="T128" s="152">
        <v>6</v>
      </c>
      <c r="U128" s="160"/>
      <c r="V128" s="153" t="str">
        <f t="shared" si="216"/>
        <v/>
      </c>
      <c r="W128" s="154"/>
      <c r="X128" s="154"/>
      <c r="Y128" s="155" t="str">
        <f t="shared" si="211"/>
        <v/>
      </c>
      <c r="Z128" s="154"/>
      <c r="AA128" s="154"/>
      <c r="AB128" s="154"/>
      <c r="AC128" s="156" t="str">
        <f t="shared" si="217"/>
        <v/>
      </c>
      <c r="AD128" s="157" t="str">
        <f t="shared" si="212"/>
        <v/>
      </c>
      <c r="AE128" s="158" t="str">
        <f t="shared" si="213"/>
        <v/>
      </c>
      <c r="AF128" s="157" t="str">
        <f t="shared" si="214"/>
        <v/>
      </c>
      <c r="AG128" s="158" t="str">
        <f t="shared" si="218"/>
        <v/>
      </c>
      <c r="AH128" s="159" t="str">
        <f t="shared" si="219"/>
        <v/>
      </c>
      <c r="AI128" s="161"/>
      <c r="AJ128" s="181"/>
      <c r="AK128" s="185"/>
      <c r="AL128" s="187"/>
      <c r="AM128" s="195"/>
      <c r="AN128" s="183"/>
      <c r="AO128" s="185"/>
      <c r="AP128" s="181"/>
    </row>
    <row r="129" spans="1:73" ht="107.25" customHeight="1" x14ac:dyDescent="0.2">
      <c r="A129" s="214">
        <v>23</v>
      </c>
      <c r="B129" s="276" t="s">
        <v>510</v>
      </c>
      <c r="C129" s="244" t="s">
        <v>500</v>
      </c>
      <c r="D129" s="277" t="s">
        <v>325</v>
      </c>
      <c r="E129" s="277" t="s">
        <v>511</v>
      </c>
      <c r="F129" s="277" t="s">
        <v>512</v>
      </c>
      <c r="G129" s="273" t="s">
        <v>513</v>
      </c>
      <c r="H129" s="278" t="s">
        <v>514</v>
      </c>
      <c r="I129" s="281" t="s">
        <v>515</v>
      </c>
      <c r="J129" s="282" t="s">
        <v>516</v>
      </c>
      <c r="K129" s="277" t="s">
        <v>517</v>
      </c>
      <c r="L129" s="285">
        <v>50000</v>
      </c>
      <c r="M129" s="205" t="str">
        <f t="shared" ref="M129" si="220">IF(L129&lt;=0,"",IF(L129&lt;=2,"Muy Baja",IF(L129&lt;=24,"Baja",IF(L129&lt;=500,"Media",IF(L129&lt;=5000,"Alta","Muy Alta")))))</f>
        <v>Muy Alta</v>
      </c>
      <c r="N129" s="206">
        <f t="shared" ref="N129" si="221">IF(M129="","",IF(M129="Muy Baja",0.2,IF(M129="Baja",0.4,IF(M129="Media",0.6,IF(M129="Alta",0.8,IF(M129="Muy Alta",1,))))))</f>
        <v>1</v>
      </c>
      <c r="O129" s="286" t="s">
        <v>131</v>
      </c>
      <c r="P129" s="239" t="str">
        <f>IF(NOT(ISERROR(MATCH(O129,'Tabla Impacto'!$B$221:$B$223,0))),'Tabla Impacto'!$F$223&amp;"Por favor no seleccionar los criterios de impacto(Afectación Económica o presupuestal y Pérdida Reputacional)",O129)</f>
        <v xml:space="preserve">     Mayor a 500 SMLMV </v>
      </c>
      <c r="Q129" s="205" t="str">
        <f>IF(OR(P129='Tabla Impacto'!$C$11,P129='Tabla Impacto'!$D$11),"Leve",IF(OR(P129='Tabla Impacto'!$C$12,P129='Tabla Impacto'!$D$12),"Menor",IF(OR(P129='Tabla Impacto'!$C$13,P129='Tabla Impacto'!$D$13),"Moderado",IF(OR(P129='Tabla Impacto'!$C$14,P129='Tabla Impacto'!$D$14),"Mayor",IF(OR(P129='Tabla Impacto'!$C$15,P129='Tabla Impacto'!$D$15),"Catastrófico","")))))</f>
        <v>Catastrófico</v>
      </c>
      <c r="R129" s="206">
        <f t="shared" ref="R129" si="222">IF(Q129="","",IF(Q129="Leve",0.2,IF(Q129="Menor",0.4,IF(Q129="Moderado",0.6,IF(Q129="Mayor",0.8,IF(Q129="Catastrófico",1,))))))</f>
        <v>1</v>
      </c>
      <c r="S129" s="207" t="str">
        <f t="shared" ref="S129" si="223">IF(OR(AND(M129="Muy Baja",Q129="Leve"),AND(M129="Muy Baja",Q129="Menor"),AND(M129="Baja",Q129="Leve")),"Bajo",IF(OR(AND(M129="Muy baja",Q129="Moderado"),AND(M129="Baja",Q129="Menor"),AND(M129="Baja",Q129="Moderado"),AND(M129="Media",Q129="Leve"),AND(M129="Media",Q129="Menor"),AND(M129="Media",Q129="Moderado"),AND(M129="Alta",Q129="Leve"),AND(M129="Alta",Q129="Menor")),"Moderado",IF(OR(AND(M129="Muy Baja",Q129="Mayor"),AND(M129="Baja",Q129="Mayor"),AND(M129="Media",Q129="Mayor"),AND(M129="Alta",Q129="Moderado"),AND(M129="Alta",Q129="Mayor"),AND(M129="Muy Alta",Q129="Leve"),AND(M129="Muy Alta",Q129="Menor"),AND(M129="Muy Alta",Q129="Moderado"),AND(M129="Muy Alta",Q129="Mayor")),"Alto",IF(OR(AND(M129="Muy Baja",Q129="Catastrófico"),AND(M129="Baja",Q129="Catastrófico"),AND(M129="Media",Q129="Catastrófico"),AND(M129="Alta",Q129="Catastrófico"),AND(M129="Muy Alta",Q129="Catastrófico")),"Extremo",""))))</f>
        <v>Extremo</v>
      </c>
      <c r="T129" s="152">
        <v>1</v>
      </c>
      <c r="U129" s="165" t="s">
        <v>518</v>
      </c>
      <c r="V129" s="153" t="str">
        <f>IF(OR(W129="Preventivo",W129="Detectivo"),"Probabilidad",IF(W129="Correctivo","Impacto",""))</f>
        <v>Probabilidad</v>
      </c>
      <c r="W129" s="139" t="s">
        <v>13</v>
      </c>
      <c r="X129" s="139" t="s">
        <v>8</v>
      </c>
      <c r="Y129" s="155" t="str">
        <f>IF(AND(W129="Preventivo",X129="Automático"),"50%",IF(AND(W129="Preventivo",X129="Manual"),"40%",IF(AND(W129="Detectivo",X129="Automático"),"40%",IF(AND(W129="Detectivo",X129="Manual"),"30%",IF(AND(W129="Correctivo",X129="Automático"),"35%",IF(AND(W129="Correctivo",X129="Manual"),"25%",""))))))</f>
        <v>40%</v>
      </c>
      <c r="Z129" s="139" t="s">
        <v>18</v>
      </c>
      <c r="AA129" s="139" t="s">
        <v>21</v>
      </c>
      <c r="AB129" s="139" t="s">
        <v>112</v>
      </c>
      <c r="AC129" s="156">
        <f>IFERROR(IF(V129="Probabilidad",(N129-(+N129*Y129)),IF(V129="Impacto",N129,"")),"")</f>
        <v>0.6</v>
      </c>
      <c r="AD129" s="157" t="str">
        <f>IFERROR(IF(AC129="","",IF(AC129&lt;=0.2,"Muy Baja",IF(AC129&lt;=0.4,"Baja",IF(AC129&lt;=0.6,"Media",IF(AC129&lt;=0.8,"Alta","Muy Alta"))))),"")</f>
        <v>Media</v>
      </c>
      <c r="AE129" s="158">
        <f>+AC129</f>
        <v>0.6</v>
      </c>
      <c r="AF129" s="157" t="str">
        <f>IFERROR(IF(AG129="","",IF(AG129&lt;=0.2,"Leve",IF(AG129&lt;=0.4,"Menor",IF(AG129&lt;=0.6,"Moderado",IF(AG129&lt;=0.8,"Mayor","Catastrófico"))))),"")</f>
        <v>Catastrófico</v>
      </c>
      <c r="AG129" s="158">
        <f>IFERROR(IF(V129="Impacto",(R129-(+R129*Y129)),IF(V129="Probabilidad",R129,"")),"")</f>
        <v>1</v>
      </c>
      <c r="AH129" s="159" t="str">
        <f>IFERROR(IF(OR(AND(AD129="Muy Baja",AF129="Leve"),AND(AD129="Muy Baja",AF129="Menor"),AND(AD129="Baja",AF129="Leve")),"Bajo",IF(OR(AND(AD129="Muy baja",AF129="Moderado"),AND(AD129="Baja",AF129="Menor"),AND(AD129="Baja",AF129="Moderado"),AND(AD129="Media",AF129="Leve"),AND(AD129="Media",AF129="Menor"),AND(AD129="Media",AF129="Moderado"),AND(AD129="Alta",AF129="Leve"),AND(AD129="Alta",AF129="Menor")),"Moderado",IF(OR(AND(AD129="Muy Baja",AF129="Mayor"),AND(AD129="Baja",AF129="Mayor"),AND(AD129="Media",AF129="Mayor"),AND(AD129="Alta",AF129="Moderado"),AND(AD129="Alta",AF129="Mayor"),AND(AD129="Muy Alta",AF129="Leve"),AND(AD129="Muy Alta",AF129="Menor"),AND(AD129="Muy Alta",AF129="Moderado"),AND(AD129="Muy Alta",AF129="Mayor")),"Alto",IF(OR(AND(AD129="Muy Baja",AF129="Catastrófico"),AND(AD129="Baja",AF129="Catastrófico"),AND(AD129="Media",AF129="Catastrófico"),AND(AD129="Alta",AF129="Catastrófico"),AND(AD129="Muy Alta",AF129="Catastrófico")),"Extremo","")))),"")</f>
        <v>Extremo</v>
      </c>
      <c r="AI129" s="140" t="s">
        <v>117</v>
      </c>
      <c r="AJ129" s="273" t="s">
        <v>522</v>
      </c>
      <c r="AK129" s="270" t="s">
        <v>188</v>
      </c>
      <c r="AL129" s="287">
        <v>44928</v>
      </c>
      <c r="AM129" s="288" t="s">
        <v>523</v>
      </c>
      <c r="AN129" s="270" t="s">
        <v>524</v>
      </c>
      <c r="AO129" s="270" t="s">
        <v>269</v>
      </c>
      <c r="AP129" s="273" t="s">
        <v>525</v>
      </c>
      <c r="AQ129" s="10"/>
      <c r="AR129" s="10"/>
      <c r="AS129" s="10"/>
      <c r="AT129" s="10"/>
      <c r="AU129" s="10"/>
      <c r="AV129" s="10"/>
      <c r="AW129" s="10"/>
      <c r="AX129" s="10"/>
      <c r="AY129" s="10"/>
      <c r="AZ129" s="10"/>
      <c r="BA129" s="10"/>
      <c r="BB129" s="10"/>
      <c r="BC129" s="10"/>
      <c r="BD129" s="10"/>
      <c r="BE129" s="10"/>
      <c r="BF129" s="10"/>
      <c r="BG129" s="10"/>
      <c r="BH129" s="10"/>
      <c r="BI129" s="10"/>
      <c r="BJ129" s="10"/>
      <c r="BK129" s="10"/>
      <c r="BL129" s="10"/>
      <c r="BM129" s="10"/>
      <c r="BN129" s="10"/>
      <c r="BO129" s="10"/>
      <c r="BP129" s="10"/>
      <c r="BQ129" s="10"/>
      <c r="BR129" s="10"/>
      <c r="BS129" s="10"/>
      <c r="BT129" s="10"/>
      <c r="BU129" s="10"/>
    </row>
    <row r="130" spans="1:73" ht="113.25" customHeight="1" x14ac:dyDescent="0.2">
      <c r="A130" s="214"/>
      <c r="B130" s="276"/>
      <c r="C130" s="245"/>
      <c r="D130" s="277"/>
      <c r="E130" s="277"/>
      <c r="F130" s="277"/>
      <c r="G130" s="274"/>
      <c r="H130" s="279"/>
      <c r="I130" s="281"/>
      <c r="J130" s="283"/>
      <c r="K130" s="277"/>
      <c r="L130" s="285"/>
      <c r="M130" s="205"/>
      <c r="N130" s="206"/>
      <c r="O130" s="286"/>
      <c r="P130" s="239">
        <f>IF(NOT(ISERROR(MATCH(O130,_xlfn.ANCHORARRAY(#REF!),0))),#REF!&amp;"Por favor no seleccionar los criterios de impacto",O130)</f>
        <v>0</v>
      </c>
      <c r="Q130" s="205"/>
      <c r="R130" s="206"/>
      <c r="S130" s="207"/>
      <c r="T130" s="152">
        <v>2</v>
      </c>
      <c r="U130" s="165" t="s">
        <v>519</v>
      </c>
      <c r="V130" s="153" t="str">
        <f>IF(OR(W130="Preventivo",W130="Detectivo"),"Probabilidad",IF(W130="Correctivo","Impacto",""))</f>
        <v>Probabilidad</v>
      </c>
      <c r="W130" s="139" t="s">
        <v>13</v>
      </c>
      <c r="X130" s="139" t="s">
        <v>8</v>
      </c>
      <c r="Y130" s="155" t="str">
        <f t="shared" ref="Y130:Y134" si="224">IF(AND(W130="Preventivo",X130="Automático"),"50%",IF(AND(W130="Preventivo",X130="Manual"),"40%",IF(AND(W130="Detectivo",X130="Automático"),"40%",IF(AND(W130="Detectivo",X130="Manual"),"30%",IF(AND(W130="Correctivo",X130="Automático"),"35%",IF(AND(W130="Correctivo",X130="Manual"),"25%",""))))))</f>
        <v>40%</v>
      </c>
      <c r="Z130" s="139" t="s">
        <v>18</v>
      </c>
      <c r="AA130" s="139" t="s">
        <v>21</v>
      </c>
      <c r="AB130" s="139" t="s">
        <v>112</v>
      </c>
      <c r="AC130" s="156">
        <f>IFERROR(IF(AND(V129="Probabilidad",V130="Probabilidad"),(AE129-(+AE129*Y130)),IF(V130="Probabilidad",(N129-(+N129*Y130)),IF(V130="Impacto",AE129,""))),"")</f>
        <v>0.36</v>
      </c>
      <c r="AD130" s="157" t="str">
        <f t="shared" ref="AD130:AD134" si="225">IFERROR(IF(AC130="","",IF(AC130&lt;=0.2,"Muy Baja",IF(AC130&lt;=0.4,"Baja",IF(AC130&lt;=0.6,"Media",IF(AC130&lt;=0.8,"Alta","Muy Alta"))))),"")</f>
        <v>Baja</v>
      </c>
      <c r="AE130" s="158">
        <f t="shared" ref="AE130:AE134" si="226">+AC130</f>
        <v>0.36</v>
      </c>
      <c r="AF130" s="157" t="str">
        <f t="shared" ref="AF130:AF134" si="227">IFERROR(IF(AG130="","",IF(AG130&lt;=0.2,"Leve",IF(AG130&lt;=0.4,"Menor",IF(AG130&lt;=0.6,"Moderado",IF(AG130&lt;=0.8,"Mayor","Catastrófico"))))),"")</f>
        <v>Catastrófico</v>
      </c>
      <c r="AG130" s="158">
        <f>IFERROR(IF(AND(V129="Impacto",V130="Impacto"),(AG129-(+AG129*Y130)),IF(V130="Impacto",(R129-(+R129*Y130)),IF(V130="Probabilidad",AG129,""))),"")</f>
        <v>1</v>
      </c>
      <c r="AH130" s="159" t="str">
        <f t="shared" ref="AH130:AH131" si="228">IFERROR(IF(OR(AND(AD130="Muy Baja",AF130="Leve"),AND(AD130="Muy Baja",AF130="Menor"),AND(AD130="Baja",AF130="Leve")),"Bajo",IF(OR(AND(AD130="Muy baja",AF130="Moderado"),AND(AD130="Baja",AF130="Menor"),AND(AD130="Baja",AF130="Moderado"),AND(AD130="Media",AF130="Leve"),AND(AD130="Media",AF130="Menor"),AND(AD130="Media",AF130="Moderado"),AND(AD130="Alta",AF130="Leve"),AND(AD130="Alta",AF130="Menor")),"Moderado",IF(OR(AND(AD130="Muy Baja",AF130="Mayor"),AND(AD130="Baja",AF130="Mayor"),AND(AD130="Media",AF130="Mayor"),AND(AD130="Alta",AF130="Moderado"),AND(AD130="Alta",AF130="Mayor"),AND(AD130="Muy Alta",AF130="Leve"),AND(AD130="Muy Alta",AF130="Menor"),AND(AD130="Muy Alta",AF130="Moderado"),AND(AD130="Muy Alta",AF130="Mayor")),"Alto",IF(OR(AND(AD130="Muy Baja",AF130="Catastrófico"),AND(AD130="Baja",AF130="Catastrófico"),AND(AD130="Media",AF130="Catastrófico"),AND(AD130="Alta",AF130="Catastrófico"),AND(AD130="Muy Alta",AF130="Catastrófico")),"Extremo","")))),"")</f>
        <v>Extremo</v>
      </c>
      <c r="AI130" s="140" t="s">
        <v>117</v>
      </c>
      <c r="AJ130" s="274"/>
      <c r="AK130" s="271"/>
      <c r="AL130" s="271"/>
      <c r="AM130" s="271"/>
      <c r="AN130" s="271"/>
      <c r="AO130" s="271"/>
      <c r="AP130" s="274"/>
    </row>
    <row r="131" spans="1:73" ht="121.5" customHeight="1" x14ac:dyDescent="0.2">
      <c r="A131" s="214"/>
      <c r="B131" s="276"/>
      <c r="C131" s="245"/>
      <c r="D131" s="277"/>
      <c r="E131" s="277"/>
      <c r="F131" s="277"/>
      <c r="G131" s="274"/>
      <c r="H131" s="279"/>
      <c r="I131" s="281"/>
      <c r="J131" s="283"/>
      <c r="K131" s="277"/>
      <c r="L131" s="285"/>
      <c r="M131" s="205"/>
      <c r="N131" s="206"/>
      <c r="O131" s="286"/>
      <c r="P131" s="239">
        <f>IF(NOT(ISERROR(MATCH(O131,_xlfn.ANCHORARRAY(#REF!),0))),#REF!&amp;"Por favor no seleccionar los criterios de impacto",O131)</f>
        <v>0</v>
      </c>
      <c r="Q131" s="205"/>
      <c r="R131" s="206"/>
      <c r="S131" s="207"/>
      <c r="T131" s="152">
        <v>3</v>
      </c>
      <c r="U131" s="165" t="s">
        <v>520</v>
      </c>
      <c r="V131" s="153" t="str">
        <f>IF(OR(W131="Preventivo",W131="Detectivo"),"Probabilidad",IF(W131="Correctivo","Impacto",""))</f>
        <v>Probabilidad</v>
      </c>
      <c r="W131" s="139" t="s">
        <v>14</v>
      </c>
      <c r="X131" s="139" t="s">
        <v>8</v>
      </c>
      <c r="Y131" s="155" t="str">
        <f t="shared" si="224"/>
        <v>30%</v>
      </c>
      <c r="Z131" s="139" t="s">
        <v>18</v>
      </c>
      <c r="AA131" s="139" t="s">
        <v>21</v>
      </c>
      <c r="AB131" s="139" t="s">
        <v>112</v>
      </c>
      <c r="AC131" s="156">
        <f>IFERROR(IF(AND(V130="Probabilidad",V131="Probabilidad"),(AE130-(+AE130*Y131)),IF(AND(V130="Impacto",V131="Probabilidad"),(AE129-(+AE129*Y131)),IF(V131="Impacto",AE130,""))),"")</f>
        <v>0.252</v>
      </c>
      <c r="AD131" s="157" t="str">
        <f t="shared" si="225"/>
        <v>Baja</v>
      </c>
      <c r="AE131" s="158">
        <f t="shared" si="226"/>
        <v>0.252</v>
      </c>
      <c r="AF131" s="157" t="str">
        <f t="shared" si="227"/>
        <v>Catastrófico</v>
      </c>
      <c r="AG131" s="158">
        <f>IFERROR(IF(AND(V130="Impacto",V131="Impacto"),(AG130-(+AG130*Y131)),IF(AND(V130="Probabilidad",V131="Impacto"),(AG129-(+AG129*Y131)),IF(V131="Probabilidad",AG130,""))),"")</f>
        <v>1</v>
      </c>
      <c r="AH131" s="159" t="str">
        <f t="shared" si="228"/>
        <v>Extremo</v>
      </c>
      <c r="AI131" s="140" t="s">
        <v>117</v>
      </c>
      <c r="AJ131" s="274"/>
      <c r="AK131" s="271"/>
      <c r="AL131" s="271"/>
      <c r="AM131" s="271"/>
      <c r="AN131" s="271"/>
      <c r="AO131" s="271"/>
      <c r="AP131" s="274"/>
    </row>
    <row r="132" spans="1:73" ht="111.75" customHeight="1" x14ac:dyDescent="0.2">
      <c r="A132" s="214"/>
      <c r="B132" s="276"/>
      <c r="C132" s="245"/>
      <c r="D132" s="277"/>
      <c r="E132" s="277"/>
      <c r="F132" s="277"/>
      <c r="G132" s="274"/>
      <c r="H132" s="279"/>
      <c r="I132" s="281"/>
      <c r="J132" s="283"/>
      <c r="K132" s="277"/>
      <c r="L132" s="285"/>
      <c r="M132" s="205"/>
      <c r="N132" s="206"/>
      <c r="O132" s="286"/>
      <c r="P132" s="239">
        <f>IF(NOT(ISERROR(MATCH(O132,_xlfn.ANCHORARRAY(#REF!),0))),#REF!&amp;"Por favor no seleccionar los criterios de impacto",O132)</f>
        <v>0</v>
      </c>
      <c r="Q132" s="205"/>
      <c r="R132" s="206"/>
      <c r="S132" s="207"/>
      <c r="T132" s="152">
        <v>4</v>
      </c>
      <c r="U132" s="165" t="s">
        <v>521</v>
      </c>
      <c r="V132" s="153" t="str">
        <f t="shared" ref="V132:V134" si="229">IF(OR(W132="Preventivo",W132="Detectivo"),"Probabilidad",IF(W132="Correctivo","Impacto",""))</f>
        <v>Impacto</v>
      </c>
      <c r="W132" s="139" t="s">
        <v>15</v>
      </c>
      <c r="X132" s="139" t="s">
        <v>8</v>
      </c>
      <c r="Y132" s="155" t="str">
        <f t="shared" si="224"/>
        <v>25%</v>
      </c>
      <c r="Z132" s="139" t="s">
        <v>18</v>
      </c>
      <c r="AA132" s="139" t="s">
        <v>21</v>
      </c>
      <c r="AB132" s="139" t="s">
        <v>112</v>
      </c>
      <c r="AC132" s="156">
        <f t="shared" ref="AC132:AC134" si="230">IFERROR(IF(AND(V131="Probabilidad",V132="Probabilidad"),(AE131-(+AE131*Y132)),IF(AND(V131="Impacto",V132="Probabilidad"),(AE130-(+AE130*Y132)),IF(V132="Impacto",AE131,""))),"")</f>
        <v>0.252</v>
      </c>
      <c r="AD132" s="157" t="str">
        <f t="shared" si="225"/>
        <v>Baja</v>
      </c>
      <c r="AE132" s="158">
        <f t="shared" si="226"/>
        <v>0.252</v>
      </c>
      <c r="AF132" s="157" t="str">
        <f t="shared" si="227"/>
        <v>Mayor</v>
      </c>
      <c r="AG132" s="158">
        <f t="shared" ref="AG132:AG134" si="231">IFERROR(IF(AND(V131="Impacto",V132="Impacto"),(AG131-(+AG131*Y132)),IF(AND(V131="Probabilidad",V132="Impacto"),(AG130-(+AG130*Y132)),IF(V132="Probabilidad",AG131,""))),"")</f>
        <v>0.75</v>
      </c>
      <c r="AH132" s="159" t="str">
        <f>IFERROR(IF(OR(AND(AD132="Muy Baja",AF132="Leve"),AND(AD132="Muy Baja",AF132="Menor"),AND(AD132="Baja",AF132="Leve")),"Bajo",IF(OR(AND(AD132="Muy baja",AF132="Moderado"),AND(AD132="Baja",AF132="Menor"),AND(AD132="Baja",AF132="Moderado"),AND(AD132="Media",AF132="Leve"),AND(AD132="Media",AF132="Menor"),AND(AD132="Media",AF132="Moderado"),AND(AD132="Alta",AF132="Leve"),AND(AD132="Alta",AF132="Menor")),"Moderado",IF(OR(AND(AD132="Muy Baja",AF132="Mayor"),AND(AD132="Baja",AF132="Mayor"),AND(AD132="Media",AF132="Mayor"),AND(AD132="Alta",AF132="Moderado"),AND(AD132="Alta",AF132="Mayor"),AND(AD132="Muy Alta",AF132="Leve"),AND(AD132="Muy Alta",AF132="Menor"),AND(AD132="Muy Alta",AF132="Moderado"),AND(AD132="Muy Alta",AF132="Mayor")),"Alto",IF(OR(AND(AD132="Muy Baja",AF132="Catastrófico"),AND(AD132="Baja",AF132="Catastrófico"),AND(AD132="Media",AF132="Catastrófico"),AND(AD132="Alta",AF132="Catastrófico"),AND(AD132="Muy Alta",AF132="Catastrófico")),"Extremo","")))),"")</f>
        <v>Alto</v>
      </c>
      <c r="AI132" s="140" t="s">
        <v>117</v>
      </c>
      <c r="AJ132" s="274"/>
      <c r="AK132" s="271"/>
      <c r="AL132" s="271"/>
      <c r="AM132" s="271"/>
      <c r="AN132" s="271"/>
      <c r="AO132" s="271"/>
      <c r="AP132" s="274"/>
    </row>
    <row r="133" spans="1:73" ht="15" customHeight="1" x14ac:dyDescent="0.2">
      <c r="A133" s="214"/>
      <c r="B133" s="276"/>
      <c r="C133" s="245"/>
      <c r="D133" s="277"/>
      <c r="E133" s="277"/>
      <c r="F133" s="277"/>
      <c r="G133" s="274"/>
      <c r="H133" s="279"/>
      <c r="I133" s="281"/>
      <c r="J133" s="283"/>
      <c r="K133" s="277"/>
      <c r="L133" s="285"/>
      <c r="M133" s="205"/>
      <c r="N133" s="206"/>
      <c r="O133" s="286"/>
      <c r="P133" s="239">
        <f>IF(NOT(ISERROR(MATCH(O133,_xlfn.ANCHORARRAY(#REF!),0))),N136&amp;"Por favor no seleccionar los criterios de impacto",O133)</f>
        <v>0</v>
      </c>
      <c r="Q133" s="205"/>
      <c r="R133" s="206"/>
      <c r="S133" s="207"/>
      <c r="T133" s="152">
        <v>5</v>
      </c>
      <c r="U133" s="160"/>
      <c r="V133" s="153" t="str">
        <f t="shared" si="229"/>
        <v/>
      </c>
      <c r="W133" s="154"/>
      <c r="X133" s="154"/>
      <c r="Y133" s="155" t="str">
        <f t="shared" si="224"/>
        <v/>
      </c>
      <c r="Z133" s="154"/>
      <c r="AA133" s="154"/>
      <c r="AB133" s="154"/>
      <c r="AC133" s="156" t="str">
        <f t="shared" si="230"/>
        <v/>
      </c>
      <c r="AD133" s="157" t="str">
        <f t="shared" si="225"/>
        <v/>
      </c>
      <c r="AE133" s="158" t="str">
        <f t="shared" si="226"/>
        <v/>
      </c>
      <c r="AF133" s="157" t="str">
        <f t="shared" si="227"/>
        <v/>
      </c>
      <c r="AG133" s="158" t="str">
        <f t="shared" si="231"/>
        <v/>
      </c>
      <c r="AH133" s="159" t="str">
        <f t="shared" ref="AH133:AH134" si="232">IFERROR(IF(OR(AND(AD133="Muy Baja",AF133="Leve"),AND(AD133="Muy Baja",AF133="Menor"),AND(AD133="Baja",AF133="Leve")),"Bajo",IF(OR(AND(AD133="Muy baja",AF133="Moderado"),AND(AD133="Baja",AF133="Menor"),AND(AD133="Baja",AF133="Moderado"),AND(AD133="Media",AF133="Leve"),AND(AD133="Media",AF133="Menor"),AND(AD133="Media",AF133="Moderado"),AND(AD133="Alta",AF133="Leve"),AND(AD133="Alta",AF133="Menor")),"Moderado",IF(OR(AND(AD133="Muy Baja",AF133="Mayor"),AND(AD133="Baja",AF133="Mayor"),AND(AD133="Media",AF133="Mayor"),AND(AD133="Alta",AF133="Moderado"),AND(AD133="Alta",AF133="Mayor"),AND(AD133="Muy Alta",AF133="Leve"),AND(AD133="Muy Alta",AF133="Menor"),AND(AD133="Muy Alta",AF133="Moderado"),AND(AD133="Muy Alta",AF133="Mayor")),"Alto",IF(OR(AND(AD133="Muy Baja",AF133="Catastrófico"),AND(AD133="Baja",AF133="Catastrófico"),AND(AD133="Media",AF133="Catastrófico"),AND(AD133="Alta",AF133="Catastrófico"),AND(AD133="Muy Alta",AF133="Catastrófico")),"Extremo","")))),"")</f>
        <v/>
      </c>
      <c r="AI133" s="140"/>
      <c r="AJ133" s="274"/>
      <c r="AK133" s="271"/>
      <c r="AL133" s="271"/>
      <c r="AM133" s="271"/>
      <c r="AN133" s="271"/>
      <c r="AO133" s="271"/>
      <c r="AP133" s="274"/>
    </row>
    <row r="134" spans="1:73" ht="15" customHeight="1" x14ac:dyDescent="0.2">
      <c r="A134" s="214"/>
      <c r="B134" s="276"/>
      <c r="C134" s="245"/>
      <c r="D134" s="277"/>
      <c r="E134" s="277"/>
      <c r="F134" s="277"/>
      <c r="G134" s="275"/>
      <c r="H134" s="280"/>
      <c r="I134" s="281"/>
      <c r="J134" s="284"/>
      <c r="K134" s="277"/>
      <c r="L134" s="285"/>
      <c r="M134" s="205"/>
      <c r="N134" s="206"/>
      <c r="O134" s="286"/>
      <c r="P134" s="239">
        <f>IF(NOT(ISERROR(MATCH(O134,_xlfn.ANCHORARRAY(#REF!),0))),N137&amp;"Por favor no seleccionar los criterios de impacto",O134)</f>
        <v>0</v>
      </c>
      <c r="Q134" s="205"/>
      <c r="R134" s="206"/>
      <c r="S134" s="207"/>
      <c r="T134" s="152">
        <v>6</v>
      </c>
      <c r="U134" s="160"/>
      <c r="V134" s="153" t="str">
        <f t="shared" si="229"/>
        <v/>
      </c>
      <c r="W134" s="154"/>
      <c r="X134" s="154"/>
      <c r="Y134" s="155" t="str">
        <f t="shared" si="224"/>
        <v/>
      </c>
      <c r="Z134" s="154"/>
      <c r="AA134" s="154"/>
      <c r="AB134" s="154"/>
      <c r="AC134" s="156" t="str">
        <f t="shared" si="230"/>
        <v/>
      </c>
      <c r="AD134" s="157" t="str">
        <f t="shared" si="225"/>
        <v/>
      </c>
      <c r="AE134" s="158" t="str">
        <f t="shared" si="226"/>
        <v/>
      </c>
      <c r="AF134" s="157" t="str">
        <f t="shared" si="227"/>
        <v/>
      </c>
      <c r="AG134" s="158" t="str">
        <f t="shared" si="231"/>
        <v/>
      </c>
      <c r="AH134" s="159" t="str">
        <f t="shared" si="232"/>
        <v/>
      </c>
      <c r="AI134" s="140"/>
      <c r="AJ134" s="275"/>
      <c r="AK134" s="272"/>
      <c r="AL134" s="272"/>
      <c r="AM134" s="272"/>
      <c r="AN134" s="272"/>
      <c r="AO134" s="272"/>
      <c r="AP134" s="275"/>
    </row>
    <row r="135" spans="1:73" ht="168.75" customHeight="1" x14ac:dyDescent="0.2">
      <c r="A135" s="214">
        <v>24</v>
      </c>
      <c r="B135" s="276" t="s">
        <v>510</v>
      </c>
      <c r="C135" s="243" t="s">
        <v>526</v>
      </c>
      <c r="D135" s="184" t="s">
        <v>266</v>
      </c>
      <c r="E135" s="180" t="s">
        <v>527</v>
      </c>
      <c r="F135" s="180" t="s">
        <v>528</v>
      </c>
      <c r="G135" s="180" t="s">
        <v>529</v>
      </c>
      <c r="H135" s="196" t="s">
        <v>530</v>
      </c>
      <c r="I135" s="246" t="s">
        <v>531</v>
      </c>
      <c r="J135" s="218" t="s">
        <v>230</v>
      </c>
      <c r="K135" s="184" t="s">
        <v>227</v>
      </c>
      <c r="L135" s="186">
        <v>150000</v>
      </c>
      <c r="M135" s="205" t="str">
        <f t="shared" ref="M135" si="233">IF(L135&lt;=0,"",IF(L135&lt;=2,"Muy Baja",IF(L135&lt;=24,"Baja",IF(L135&lt;=500,"Media",IF(L135&lt;=5000,"Alta","Muy Alta")))))</f>
        <v>Muy Alta</v>
      </c>
      <c r="N135" s="206">
        <f t="shared" ref="N135" si="234">IF(M135="","",IF(M135="Muy Baja",0.2,IF(M135="Baja",0.4,IF(M135="Media",0.6,IF(M135="Alta",0.8,IF(M135="Muy Alta",1,))))))</f>
        <v>1</v>
      </c>
      <c r="O135" s="211" t="s">
        <v>136</v>
      </c>
      <c r="P135" s="239" t="str">
        <f>IF(NOT(ISERROR(MATCH(O135,'Tabla Impacto'!$B$221:$B$223,0))),'Tabla Impacto'!$F$223&amp;"Por favor no seleccionar los criterios de impacto(Afectación Económica o presupuestal y Pérdida Reputacional)",O135)</f>
        <v xml:space="preserve">     El riesgo afecta la imagen de la entidad a nivel nacional, con efecto publicitarios sostenible a nivel país</v>
      </c>
      <c r="Q135" s="205" t="str">
        <f>IF(OR(P135='Tabla Impacto'!$C$11,P135='Tabla Impacto'!$D$11),"Leve",IF(OR(P135='Tabla Impacto'!$C$12,P135='Tabla Impacto'!$D$12),"Menor",IF(OR(P135='Tabla Impacto'!$C$13,P135='Tabla Impacto'!$D$13),"Moderado",IF(OR(P135='Tabla Impacto'!$C$14,P135='Tabla Impacto'!$D$14),"Mayor",IF(OR(P135='Tabla Impacto'!$C$15,P135='Tabla Impacto'!$D$15),"Catastrófico","")))))</f>
        <v>Catastrófico</v>
      </c>
      <c r="R135" s="206">
        <f t="shared" ref="R135" si="235">IF(Q135="","",IF(Q135="Leve",0.2,IF(Q135="Menor",0.4,IF(Q135="Moderado",0.6,IF(Q135="Mayor",0.8,IF(Q135="Catastrófico",1,))))))</f>
        <v>1</v>
      </c>
      <c r="S135" s="207" t="str">
        <f t="shared" ref="S135" si="236">IF(OR(AND(M135="Muy Baja",Q135="Leve"),AND(M135="Muy Baja",Q135="Menor"),AND(M135="Baja",Q135="Leve")),"Bajo",IF(OR(AND(M135="Muy baja",Q135="Moderado"),AND(M135="Baja",Q135="Menor"),AND(M135="Baja",Q135="Moderado"),AND(M135="Media",Q135="Leve"),AND(M135="Media",Q135="Menor"),AND(M135="Media",Q135="Moderado"),AND(M135="Alta",Q135="Leve"),AND(M135="Alta",Q135="Menor")),"Moderado",IF(OR(AND(M135="Muy Baja",Q135="Mayor"),AND(M135="Baja",Q135="Mayor"),AND(M135="Media",Q135="Mayor"),AND(M135="Alta",Q135="Moderado"),AND(M135="Alta",Q135="Mayor"),AND(M135="Muy Alta",Q135="Leve"),AND(M135="Muy Alta",Q135="Menor"),AND(M135="Muy Alta",Q135="Moderado"),AND(M135="Muy Alta",Q135="Mayor")),"Alto",IF(OR(AND(M135="Muy Baja",Q135="Catastrófico"),AND(M135="Baja",Q135="Catastrófico"),AND(M135="Media",Q135="Catastrófico"),AND(M135="Alta",Q135="Catastrófico"),AND(M135="Muy Alta",Q135="Catastrófico")),"Extremo",""))))</f>
        <v>Extremo</v>
      </c>
      <c r="T135" s="152">
        <v>1</v>
      </c>
      <c r="U135" s="173" t="s">
        <v>537</v>
      </c>
      <c r="V135" s="153" t="str">
        <f>IF(OR(W135="Preventivo",W135="Detectivo"),"Probabilidad",IF(W135="Correctivo","Impacto",""))</f>
        <v>Probabilidad</v>
      </c>
      <c r="W135" s="145" t="s">
        <v>13</v>
      </c>
      <c r="X135" s="145" t="s">
        <v>8</v>
      </c>
      <c r="Y135" s="155" t="str">
        <f>IF(AND(W135="Preventivo",X135="Automático"),"50%",IF(AND(W135="Preventivo",X135="Manual"),"40%",IF(AND(W135="Detectivo",X135="Automático"),"40%",IF(AND(W135="Detectivo",X135="Manual"),"30%",IF(AND(W135="Correctivo",X135="Automático"),"35%",IF(AND(W135="Correctivo",X135="Manual"),"25%",""))))))</f>
        <v>40%</v>
      </c>
      <c r="Z135" s="145" t="s">
        <v>18</v>
      </c>
      <c r="AA135" s="145" t="s">
        <v>21</v>
      </c>
      <c r="AB135" s="145" t="s">
        <v>112</v>
      </c>
      <c r="AC135" s="156">
        <f>IFERROR(IF(V135="Probabilidad",(N135-(+N135*Y135)),IF(V135="Impacto",N135,"")),"")</f>
        <v>0.6</v>
      </c>
      <c r="AD135" s="157" t="str">
        <f>IFERROR(IF(AC135="","",IF(AC135&lt;=0.2,"Muy Baja",IF(AC135&lt;=0.4,"Baja",IF(AC135&lt;=0.6,"Media",IF(AC135&lt;=0.8,"Alta","Muy Alta"))))),"")</f>
        <v>Media</v>
      </c>
      <c r="AE135" s="158">
        <f>+AC135</f>
        <v>0.6</v>
      </c>
      <c r="AF135" s="157" t="str">
        <f>IFERROR(IF(AG135="","",IF(AG135&lt;=0.2,"Leve",IF(AG135&lt;=0.4,"Menor",IF(AG135&lt;=0.6,"Moderado",IF(AG135&lt;=0.8,"Mayor","Catastrófico"))))),"")</f>
        <v>Catastrófico</v>
      </c>
      <c r="AG135" s="158">
        <f>IFERROR(IF(V135="Impacto",(R135-(+R135*Y135)),IF(V135="Probabilidad",R135,"")),"")</f>
        <v>1</v>
      </c>
      <c r="AH135" s="159" t="str">
        <f>IFERROR(IF(OR(AND(AD135="Muy Baja",AF135="Leve"),AND(AD135="Muy Baja",AF135="Menor"),AND(AD135="Baja",AF135="Leve")),"Bajo",IF(OR(AND(AD135="Muy baja",AF135="Moderado"),AND(AD135="Baja",AF135="Menor"),AND(AD135="Baja",AF135="Moderado"),AND(AD135="Media",AF135="Leve"),AND(AD135="Media",AF135="Menor"),AND(AD135="Media",AF135="Moderado"),AND(AD135="Alta",AF135="Leve"),AND(AD135="Alta",AF135="Menor")),"Moderado",IF(OR(AND(AD135="Muy Baja",AF135="Mayor"),AND(AD135="Baja",AF135="Mayor"),AND(AD135="Media",AF135="Mayor"),AND(AD135="Alta",AF135="Moderado"),AND(AD135="Alta",AF135="Mayor"),AND(AD135="Muy Alta",AF135="Leve"),AND(AD135="Muy Alta",AF135="Menor"),AND(AD135="Muy Alta",AF135="Moderado"),AND(AD135="Muy Alta",AF135="Mayor")),"Alto",IF(OR(AND(AD135="Muy Baja",AF135="Catastrófico"),AND(AD135="Baja",AF135="Catastrófico"),AND(AD135="Media",AF135="Catastrófico"),AND(AD135="Alta",AF135="Catastrófico"),AND(AD135="Muy Alta",AF135="Catastrófico")),"Extremo","")))),"")</f>
        <v>Extremo</v>
      </c>
      <c r="AI135" s="151" t="s">
        <v>117</v>
      </c>
      <c r="AJ135" s="196" t="s">
        <v>541</v>
      </c>
      <c r="AK135" s="186" t="s">
        <v>191</v>
      </c>
      <c r="AL135" s="188">
        <v>45293</v>
      </c>
      <c r="AM135" s="194">
        <v>45657</v>
      </c>
      <c r="AN135" s="184" t="s">
        <v>284</v>
      </c>
      <c r="AO135" s="190" t="s">
        <v>269</v>
      </c>
      <c r="AP135" s="196" t="s">
        <v>542</v>
      </c>
      <c r="AQ135" s="10"/>
      <c r="AR135" s="10"/>
      <c r="AS135" s="10"/>
      <c r="AT135" s="10"/>
      <c r="AU135" s="10"/>
      <c r="AV135" s="10"/>
      <c r="AW135" s="10"/>
      <c r="AX135" s="10"/>
      <c r="AY135" s="10"/>
      <c r="AZ135" s="10"/>
      <c r="BA135" s="10"/>
      <c r="BB135" s="10"/>
      <c r="BC135" s="10"/>
      <c r="BD135" s="10"/>
      <c r="BE135" s="10"/>
      <c r="BF135" s="10"/>
      <c r="BG135" s="10"/>
      <c r="BH135" s="10"/>
      <c r="BI135" s="10"/>
      <c r="BJ135" s="10"/>
      <c r="BK135" s="10"/>
      <c r="BL135" s="10"/>
      <c r="BM135" s="10"/>
      <c r="BN135" s="10"/>
      <c r="BO135" s="10"/>
      <c r="BP135" s="10"/>
      <c r="BQ135" s="10"/>
      <c r="BR135" s="10"/>
      <c r="BS135" s="10"/>
      <c r="BT135" s="10"/>
      <c r="BU135" s="10"/>
    </row>
    <row r="136" spans="1:73" ht="140.25" customHeight="1" x14ac:dyDescent="0.2">
      <c r="A136" s="214"/>
      <c r="B136" s="276"/>
      <c r="C136" s="241"/>
      <c r="D136" s="183"/>
      <c r="E136" s="181"/>
      <c r="F136" s="181"/>
      <c r="G136" s="181"/>
      <c r="H136" s="197"/>
      <c r="I136" s="242"/>
      <c r="J136" s="217"/>
      <c r="K136" s="183"/>
      <c r="L136" s="185"/>
      <c r="M136" s="205"/>
      <c r="N136" s="206"/>
      <c r="O136" s="203"/>
      <c r="P136" s="239">
        <f>IF(NOT(ISERROR(MATCH(O136,_xlfn.ANCHORARRAY(#REF!),0))),#REF!&amp;"Por favor no seleccionar los criterios de impacto",O136)</f>
        <v>0</v>
      </c>
      <c r="Q136" s="205"/>
      <c r="R136" s="206"/>
      <c r="S136" s="207"/>
      <c r="T136" s="152">
        <v>2</v>
      </c>
      <c r="U136" s="166" t="s">
        <v>538</v>
      </c>
      <c r="V136" s="153" t="str">
        <f>IF(OR(W136="Preventivo",W136="Detectivo"),"Probabilidad",IF(W136="Correctivo","Impacto",""))</f>
        <v>Probabilidad</v>
      </c>
      <c r="W136" s="154" t="s">
        <v>14</v>
      </c>
      <c r="X136" s="154" t="s">
        <v>8</v>
      </c>
      <c r="Y136" s="155" t="str">
        <f t="shared" ref="Y136:Y140" si="237">IF(AND(W136="Preventivo",X136="Automático"),"50%",IF(AND(W136="Preventivo",X136="Manual"),"40%",IF(AND(W136="Detectivo",X136="Automático"),"40%",IF(AND(W136="Detectivo",X136="Manual"),"30%",IF(AND(W136="Correctivo",X136="Automático"),"35%",IF(AND(W136="Correctivo",X136="Manual"),"25%",""))))))</f>
        <v>30%</v>
      </c>
      <c r="Z136" s="154" t="s">
        <v>18</v>
      </c>
      <c r="AA136" s="154" t="s">
        <v>21</v>
      </c>
      <c r="AB136" s="154" t="s">
        <v>112</v>
      </c>
      <c r="AC136" s="156">
        <f>IFERROR(IF(AND(V135="Probabilidad",V136="Probabilidad"),(AE135-(+AE135*Y136)),IF(V136="Probabilidad",(N135-(+N135*Y136)),IF(V136="Impacto",AE135,""))),"")</f>
        <v>0.42</v>
      </c>
      <c r="AD136" s="157" t="str">
        <f t="shared" ref="AD136:AD140" si="238">IFERROR(IF(AC136="","",IF(AC136&lt;=0.2,"Muy Baja",IF(AC136&lt;=0.4,"Baja",IF(AC136&lt;=0.6,"Media",IF(AC136&lt;=0.8,"Alta","Muy Alta"))))),"")</f>
        <v>Media</v>
      </c>
      <c r="AE136" s="158">
        <f t="shared" ref="AE136:AE140" si="239">+AC136</f>
        <v>0.42</v>
      </c>
      <c r="AF136" s="157" t="str">
        <f t="shared" ref="AF136:AF140" si="240">IFERROR(IF(AG136="","",IF(AG136&lt;=0.2,"Leve",IF(AG136&lt;=0.4,"Menor",IF(AG136&lt;=0.6,"Moderado",IF(AG136&lt;=0.8,"Mayor","Catastrófico"))))),"")</f>
        <v>Catastrófico</v>
      </c>
      <c r="AG136" s="158">
        <f>IFERROR(IF(AND(V135="Impacto",V136="Impacto"),(AG135-(+AG135*Y136)),IF(V136="Impacto",(R135-(+R135*Y136)),IF(V136="Probabilidad",AG135,""))),"")</f>
        <v>1</v>
      </c>
      <c r="AH136" s="159" t="str">
        <f t="shared" ref="AH136:AH137" si="241">IFERROR(IF(OR(AND(AD136="Muy Baja",AF136="Leve"),AND(AD136="Muy Baja",AF136="Menor"),AND(AD136="Baja",AF136="Leve")),"Bajo",IF(OR(AND(AD136="Muy baja",AF136="Moderado"),AND(AD136="Baja",AF136="Menor"),AND(AD136="Baja",AF136="Moderado"),AND(AD136="Media",AF136="Leve"),AND(AD136="Media",AF136="Menor"),AND(AD136="Media",AF136="Moderado"),AND(AD136="Alta",AF136="Leve"),AND(AD136="Alta",AF136="Menor")),"Moderado",IF(OR(AND(AD136="Muy Baja",AF136="Mayor"),AND(AD136="Baja",AF136="Mayor"),AND(AD136="Media",AF136="Mayor"),AND(AD136="Alta",AF136="Moderado"),AND(AD136="Alta",AF136="Mayor"),AND(AD136="Muy Alta",AF136="Leve"),AND(AD136="Muy Alta",AF136="Menor"),AND(AD136="Muy Alta",AF136="Moderado"),AND(AD136="Muy Alta",AF136="Mayor")),"Alto",IF(OR(AND(AD136="Muy Baja",AF136="Catastrófico"),AND(AD136="Baja",AF136="Catastrófico"),AND(AD136="Media",AF136="Catastrófico"),AND(AD136="Alta",AF136="Catastrófico"),AND(AD136="Muy Alta",AF136="Catastrófico")),"Extremo","")))),"")</f>
        <v>Extremo</v>
      </c>
      <c r="AI136" s="161" t="s">
        <v>117</v>
      </c>
      <c r="AJ136" s="197"/>
      <c r="AK136" s="185"/>
      <c r="AL136" s="187"/>
      <c r="AM136" s="195"/>
      <c r="AN136" s="183"/>
      <c r="AO136" s="190"/>
      <c r="AP136" s="197"/>
    </row>
    <row r="137" spans="1:73" ht="15" customHeight="1" x14ac:dyDescent="0.2">
      <c r="A137" s="214"/>
      <c r="B137" s="276"/>
      <c r="C137" s="241"/>
      <c r="D137" s="183"/>
      <c r="E137" s="181"/>
      <c r="F137" s="181"/>
      <c r="G137" s="181"/>
      <c r="H137" s="197"/>
      <c r="I137" s="242"/>
      <c r="J137" s="217"/>
      <c r="K137" s="183"/>
      <c r="L137" s="185"/>
      <c r="M137" s="205"/>
      <c r="N137" s="206"/>
      <c r="O137" s="203"/>
      <c r="P137" s="239">
        <f>IF(NOT(ISERROR(MATCH(O137,_xlfn.ANCHORARRAY(#REF!),0))),#REF!&amp;"Por favor no seleccionar los criterios de impacto",O137)</f>
        <v>0</v>
      </c>
      <c r="Q137" s="205"/>
      <c r="R137" s="206"/>
      <c r="S137" s="207"/>
      <c r="T137" s="152">
        <v>3</v>
      </c>
      <c r="U137" s="166"/>
      <c r="V137" s="153" t="str">
        <f>IF(OR(W137="Preventivo",W137="Detectivo"),"Probabilidad",IF(W137="Correctivo","Impacto",""))</f>
        <v/>
      </c>
      <c r="W137" s="154"/>
      <c r="X137" s="154"/>
      <c r="Y137" s="155" t="str">
        <f t="shared" si="237"/>
        <v/>
      </c>
      <c r="Z137" s="154"/>
      <c r="AA137" s="154"/>
      <c r="AB137" s="154"/>
      <c r="AC137" s="156" t="str">
        <f>IFERROR(IF(AND(V136="Probabilidad",V137="Probabilidad"),(AE136-(+AE136*Y137)),IF(AND(V136="Impacto",V137="Probabilidad"),(AE135-(+AE135*Y137)),IF(V137="Impacto",AE136,""))),"")</f>
        <v/>
      </c>
      <c r="AD137" s="157" t="str">
        <f t="shared" si="238"/>
        <v/>
      </c>
      <c r="AE137" s="158" t="str">
        <f t="shared" si="239"/>
        <v/>
      </c>
      <c r="AF137" s="157" t="str">
        <f t="shared" si="240"/>
        <v/>
      </c>
      <c r="AG137" s="158" t="str">
        <f>IFERROR(IF(AND(V136="Impacto",V137="Impacto"),(AG136-(+AG136*Y137)),IF(AND(V136="Probabilidad",V137="Impacto"),(AG135-(+AG135*Y137)),IF(V137="Probabilidad",AG136,""))),"")</f>
        <v/>
      </c>
      <c r="AH137" s="159" t="str">
        <f t="shared" si="241"/>
        <v/>
      </c>
      <c r="AI137" s="161"/>
      <c r="AJ137" s="197"/>
      <c r="AK137" s="185"/>
      <c r="AL137" s="187"/>
      <c r="AM137" s="195"/>
      <c r="AN137" s="183"/>
      <c r="AO137" s="190"/>
      <c r="AP137" s="197"/>
    </row>
    <row r="138" spans="1:73" ht="15" customHeight="1" x14ac:dyDescent="0.2">
      <c r="A138" s="214"/>
      <c r="B138" s="276"/>
      <c r="C138" s="241"/>
      <c r="D138" s="183"/>
      <c r="E138" s="181"/>
      <c r="F138" s="181"/>
      <c r="G138" s="181"/>
      <c r="H138" s="197"/>
      <c r="I138" s="242"/>
      <c r="J138" s="217"/>
      <c r="K138" s="183"/>
      <c r="L138" s="185"/>
      <c r="M138" s="205"/>
      <c r="N138" s="206"/>
      <c r="O138" s="203"/>
      <c r="P138" s="239">
        <f>IF(NOT(ISERROR(MATCH(O138,_xlfn.ANCHORARRAY(#REF!),0))),#REF!&amp;"Por favor no seleccionar los criterios de impacto",O138)</f>
        <v>0</v>
      </c>
      <c r="Q138" s="205"/>
      <c r="R138" s="206"/>
      <c r="S138" s="207"/>
      <c r="T138" s="152">
        <v>4</v>
      </c>
      <c r="U138" s="160"/>
      <c r="V138" s="153" t="str">
        <f t="shared" ref="V138:V140" si="242">IF(OR(W138="Preventivo",W138="Detectivo"),"Probabilidad",IF(W138="Correctivo","Impacto",""))</f>
        <v/>
      </c>
      <c r="W138" s="154"/>
      <c r="X138" s="154"/>
      <c r="Y138" s="155" t="str">
        <f t="shared" si="237"/>
        <v/>
      </c>
      <c r="Z138" s="154"/>
      <c r="AA138" s="154"/>
      <c r="AB138" s="154"/>
      <c r="AC138" s="156" t="str">
        <f t="shared" ref="AC138:AC140" si="243">IFERROR(IF(AND(V137="Probabilidad",V138="Probabilidad"),(AE137-(+AE137*Y138)),IF(AND(V137="Impacto",V138="Probabilidad"),(AE136-(+AE136*Y138)),IF(V138="Impacto",AE137,""))),"")</f>
        <v/>
      </c>
      <c r="AD138" s="157" t="str">
        <f t="shared" si="238"/>
        <v/>
      </c>
      <c r="AE138" s="158" t="str">
        <f t="shared" si="239"/>
        <v/>
      </c>
      <c r="AF138" s="157" t="str">
        <f t="shared" si="240"/>
        <v/>
      </c>
      <c r="AG138" s="158" t="str">
        <f t="shared" ref="AG138:AG140" si="244">IFERROR(IF(AND(V137="Impacto",V138="Impacto"),(AG137-(+AG137*Y138)),IF(AND(V137="Probabilidad",V138="Impacto"),(AG136-(+AG136*Y138)),IF(V138="Probabilidad",AG137,""))),"")</f>
        <v/>
      </c>
      <c r="AH138" s="159" t="str">
        <f>IFERROR(IF(OR(AND(AD138="Muy Baja",AF138="Leve"),AND(AD138="Muy Baja",AF138="Menor"),AND(AD138="Baja",AF138="Leve")),"Bajo",IF(OR(AND(AD138="Muy baja",AF138="Moderado"),AND(AD138="Baja",AF138="Menor"),AND(AD138="Baja",AF138="Moderado"),AND(AD138="Media",AF138="Leve"),AND(AD138="Media",AF138="Menor"),AND(AD138="Media",AF138="Moderado"),AND(AD138="Alta",AF138="Leve"),AND(AD138="Alta",AF138="Menor")),"Moderado",IF(OR(AND(AD138="Muy Baja",AF138="Mayor"),AND(AD138="Baja",AF138="Mayor"),AND(AD138="Media",AF138="Mayor"),AND(AD138="Alta",AF138="Moderado"),AND(AD138="Alta",AF138="Mayor"),AND(AD138="Muy Alta",AF138="Leve"),AND(AD138="Muy Alta",AF138="Menor"),AND(AD138="Muy Alta",AF138="Moderado"),AND(AD138="Muy Alta",AF138="Mayor")),"Alto",IF(OR(AND(AD138="Muy Baja",AF138="Catastrófico"),AND(AD138="Baja",AF138="Catastrófico"),AND(AD138="Media",AF138="Catastrófico"),AND(AD138="Alta",AF138="Catastrófico"),AND(AD138="Muy Alta",AF138="Catastrófico")),"Extremo","")))),"")</f>
        <v/>
      </c>
      <c r="AI138" s="161"/>
      <c r="AJ138" s="197"/>
      <c r="AK138" s="185"/>
      <c r="AL138" s="187"/>
      <c r="AM138" s="195"/>
      <c r="AN138" s="183"/>
      <c r="AO138" s="190"/>
      <c r="AP138" s="197"/>
    </row>
    <row r="139" spans="1:73" ht="15" customHeight="1" x14ac:dyDescent="0.2">
      <c r="A139" s="214"/>
      <c r="B139" s="276"/>
      <c r="C139" s="241"/>
      <c r="D139" s="183"/>
      <c r="E139" s="181"/>
      <c r="F139" s="181"/>
      <c r="G139" s="181"/>
      <c r="H139" s="197"/>
      <c r="I139" s="242"/>
      <c r="J139" s="217"/>
      <c r="K139" s="183"/>
      <c r="L139" s="185"/>
      <c r="M139" s="205"/>
      <c r="N139" s="206"/>
      <c r="O139" s="203"/>
      <c r="P139" s="239">
        <f>IF(NOT(ISERROR(MATCH(O139,_xlfn.ANCHORARRAY(#REF!),0))),N142&amp;"Por favor no seleccionar los criterios de impacto",O139)</f>
        <v>0</v>
      </c>
      <c r="Q139" s="205"/>
      <c r="R139" s="206"/>
      <c r="S139" s="207"/>
      <c r="T139" s="152">
        <v>5</v>
      </c>
      <c r="U139" s="160"/>
      <c r="V139" s="153" t="str">
        <f t="shared" si="242"/>
        <v/>
      </c>
      <c r="W139" s="154"/>
      <c r="X139" s="154"/>
      <c r="Y139" s="155" t="str">
        <f t="shared" si="237"/>
        <v/>
      </c>
      <c r="Z139" s="154"/>
      <c r="AA139" s="154"/>
      <c r="AB139" s="154"/>
      <c r="AC139" s="156" t="str">
        <f t="shared" si="243"/>
        <v/>
      </c>
      <c r="AD139" s="157" t="str">
        <f t="shared" si="238"/>
        <v/>
      </c>
      <c r="AE139" s="158" t="str">
        <f t="shared" si="239"/>
        <v/>
      </c>
      <c r="AF139" s="157" t="str">
        <f t="shared" si="240"/>
        <v/>
      </c>
      <c r="AG139" s="158" t="str">
        <f t="shared" si="244"/>
        <v/>
      </c>
      <c r="AH139" s="159" t="str">
        <f t="shared" ref="AH139:AH140" si="245">IFERROR(IF(OR(AND(AD139="Muy Baja",AF139="Leve"),AND(AD139="Muy Baja",AF139="Menor"),AND(AD139="Baja",AF139="Leve")),"Bajo",IF(OR(AND(AD139="Muy baja",AF139="Moderado"),AND(AD139="Baja",AF139="Menor"),AND(AD139="Baja",AF139="Moderado"),AND(AD139="Media",AF139="Leve"),AND(AD139="Media",AF139="Menor"),AND(AD139="Media",AF139="Moderado"),AND(AD139="Alta",AF139="Leve"),AND(AD139="Alta",AF139="Menor")),"Moderado",IF(OR(AND(AD139="Muy Baja",AF139="Mayor"),AND(AD139="Baja",AF139="Mayor"),AND(AD139="Media",AF139="Mayor"),AND(AD139="Alta",AF139="Moderado"),AND(AD139="Alta",AF139="Mayor"),AND(AD139="Muy Alta",AF139="Leve"),AND(AD139="Muy Alta",AF139="Menor"),AND(AD139="Muy Alta",AF139="Moderado"),AND(AD139="Muy Alta",AF139="Mayor")),"Alto",IF(OR(AND(AD139="Muy Baja",AF139="Catastrófico"),AND(AD139="Baja",AF139="Catastrófico"),AND(AD139="Media",AF139="Catastrófico"),AND(AD139="Alta",AF139="Catastrófico"),AND(AD139="Muy Alta",AF139="Catastrófico")),"Extremo","")))),"")</f>
        <v/>
      </c>
      <c r="AI139" s="161"/>
      <c r="AJ139" s="197"/>
      <c r="AK139" s="185"/>
      <c r="AL139" s="187"/>
      <c r="AM139" s="195"/>
      <c r="AN139" s="183"/>
      <c r="AO139" s="190"/>
      <c r="AP139" s="197"/>
    </row>
    <row r="140" spans="1:73" ht="15" customHeight="1" x14ac:dyDescent="0.2">
      <c r="A140" s="214"/>
      <c r="B140" s="276"/>
      <c r="C140" s="241"/>
      <c r="D140" s="183"/>
      <c r="E140" s="181"/>
      <c r="F140" s="181"/>
      <c r="G140" s="181"/>
      <c r="H140" s="197"/>
      <c r="I140" s="242"/>
      <c r="J140" s="217"/>
      <c r="K140" s="183"/>
      <c r="L140" s="185"/>
      <c r="M140" s="205"/>
      <c r="N140" s="206"/>
      <c r="O140" s="203"/>
      <c r="P140" s="239">
        <f>IF(NOT(ISERROR(MATCH(O140,_xlfn.ANCHORARRAY(#REF!),0))),N143&amp;"Por favor no seleccionar los criterios de impacto",O140)</f>
        <v>0</v>
      </c>
      <c r="Q140" s="205"/>
      <c r="R140" s="206"/>
      <c r="S140" s="207"/>
      <c r="T140" s="152">
        <v>6</v>
      </c>
      <c r="U140" s="160"/>
      <c r="V140" s="153" t="str">
        <f t="shared" si="242"/>
        <v/>
      </c>
      <c r="W140" s="154"/>
      <c r="X140" s="154"/>
      <c r="Y140" s="155" t="str">
        <f t="shared" si="237"/>
        <v/>
      </c>
      <c r="Z140" s="154"/>
      <c r="AA140" s="154"/>
      <c r="AB140" s="154"/>
      <c r="AC140" s="156" t="str">
        <f t="shared" si="243"/>
        <v/>
      </c>
      <c r="AD140" s="157" t="str">
        <f t="shared" si="238"/>
        <v/>
      </c>
      <c r="AE140" s="158" t="str">
        <f t="shared" si="239"/>
        <v/>
      </c>
      <c r="AF140" s="157" t="str">
        <f t="shared" si="240"/>
        <v/>
      </c>
      <c r="AG140" s="158" t="str">
        <f t="shared" si="244"/>
        <v/>
      </c>
      <c r="AH140" s="159" t="str">
        <f t="shared" si="245"/>
        <v/>
      </c>
      <c r="AI140" s="161"/>
      <c r="AJ140" s="197"/>
      <c r="AK140" s="185"/>
      <c r="AL140" s="187"/>
      <c r="AM140" s="195"/>
      <c r="AN140" s="183"/>
      <c r="AO140" s="191"/>
      <c r="AP140" s="197"/>
    </row>
    <row r="141" spans="1:73" ht="143.25" customHeight="1" x14ac:dyDescent="0.2">
      <c r="A141" s="214">
        <v>25</v>
      </c>
      <c r="B141" s="276" t="s">
        <v>510</v>
      </c>
      <c r="C141" s="243" t="s">
        <v>526</v>
      </c>
      <c r="D141" s="184" t="s">
        <v>266</v>
      </c>
      <c r="E141" s="180" t="s">
        <v>532</v>
      </c>
      <c r="F141" s="180" t="s">
        <v>533</v>
      </c>
      <c r="G141" s="180" t="s">
        <v>534</v>
      </c>
      <c r="H141" s="196" t="s">
        <v>535</v>
      </c>
      <c r="I141" s="246" t="s">
        <v>536</v>
      </c>
      <c r="J141" s="217" t="s">
        <v>230</v>
      </c>
      <c r="K141" s="183" t="s">
        <v>227</v>
      </c>
      <c r="L141" s="185">
        <v>150000</v>
      </c>
      <c r="M141" s="205" t="str">
        <f t="shared" ref="M141" si="246">IF(L141&lt;=0,"",IF(L141&lt;=2,"Muy Baja",IF(L141&lt;=24,"Baja",IF(L141&lt;=500,"Media",IF(L141&lt;=5000,"Alta","Muy Alta")))))</f>
        <v>Muy Alta</v>
      </c>
      <c r="N141" s="206">
        <f t="shared" ref="N141" si="247">IF(M141="","",IF(M141="Muy Baja",0.2,IF(M141="Baja",0.4,IF(M141="Media",0.6,IF(M141="Alta",0.8,IF(M141="Muy Alta",1,))))))</f>
        <v>1</v>
      </c>
      <c r="O141" s="203" t="s">
        <v>136</v>
      </c>
      <c r="P141" s="239" t="str">
        <f>IF(NOT(ISERROR(MATCH(O141,'Tabla Impacto'!$B$221:$B$223,0))),'Tabla Impacto'!$F$223&amp;"Por favor no seleccionar los criterios de impacto(Afectación Económica o presupuestal y Pérdida Reputacional)",O141)</f>
        <v xml:space="preserve">     El riesgo afecta la imagen de la entidad a nivel nacional, con efecto publicitarios sostenible a nivel país</v>
      </c>
      <c r="Q141" s="205" t="str">
        <f>IF(OR(P141='Tabla Impacto'!$C$11,P141='Tabla Impacto'!$D$11),"Leve",IF(OR(P141='Tabla Impacto'!$C$12,P141='Tabla Impacto'!$D$12),"Menor",IF(OR(P141='Tabla Impacto'!$C$13,P141='Tabla Impacto'!$D$13),"Moderado",IF(OR(P141='Tabla Impacto'!$C$14,P141='Tabla Impacto'!$D$14),"Mayor",IF(OR(P141='Tabla Impacto'!$C$15,P141='Tabla Impacto'!$D$15),"Catastrófico","")))))</f>
        <v>Catastrófico</v>
      </c>
      <c r="R141" s="206">
        <f t="shared" ref="R141" si="248">IF(Q141="","",IF(Q141="Leve",0.2,IF(Q141="Menor",0.4,IF(Q141="Moderado",0.6,IF(Q141="Mayor",0.8,IF(Q141="Catastrófico",1,))))))</f>
        <v>1</v>
      </c>
      <c r="S141" s="207" t="str">
        <f t="shared" ref="S141" si="249">IF(OR(AND(M141="Muy Baja",Q141="Leve"),AND(M141="Muy Baja",Q141="Menor"),AND(M141="Baja",Q141="Leve")),"Bajo",IF(OR(AND(M141="Muy baja",Q141="Moderado"),AND(M141="Baja",Q141="Menor"),AND(M141="Baja",Q141="Moderado"),AND(M141="Media",Q141="Leve"),AND(M141="Media",Q141="Menor"),AND(M141="Media",Q141="Moderado"),AND(M141="Alta",Q141="Leve"),AND(M141="Alta",Q141="Menor")),"Moderado",IF(OR(AND(M141="Muy Baja",Q141="Mayor"),AND(M141="Baja",Q141="Mayor"),AND(M141="Media",Q141="Mayor"),AND(M141="Alta",Q141="Moderado"),AND(M141="Alta",Q141="Mayor"),AND(M141="Muy Alta",Q141="Leve"),AND(M141="Muy Alta",Q141="Menor"),AND(M141="Muy Alta",Q141="Moderado"),AND(M141="Muy Alta",Q141="Mayor")),"Alto",IF(OR(AND(M141="Muy Baja",Q141="Catastrófico"),AND(M141="Baja",Q141="Catastrófico"),AND(M141="Media",Q141="Catastrófico"),AND(M141="Alta",Q141="Catastrófico"),AND(M141="Muy Alta",Q141="Catastrófico")),"Extremo",""))))</f>
        <v>Extremo</v>
      </c>
      <c r="T141" s="152">
        <v>1</v>
      </c>
      <c r="U141" s="166" t="s">
        <v>539</v>
      </c>
      <c r="V141" s="153" t="str">
        <f>IF(OR(W141="Preventivo",W141="Detectivo"),"Probabilidad",IF(W141="Correctivo","Impacto",""))</f>
        <v>Probabilidad</v>
      </c>
      <c r="W141" s="154" t="s">
        <v>13</v>
      </c>
      <c r="X141" s="154" t="s">
        <v>8</v>
      </c>
      <c r="Y141" s="155" t="str">
        <f>IF(AND(W141="Preventivo",X141="Automático"),"50%",IF(AND(W141="Preventivo",X141="Manual"),"40%",IF(AND(W141="Detectivo",X141="Automático"),"40%",IF(AND(W141="Detectivo",X141="Manual"),"30%",IF(AND(W141="Correctivo",X141="Automático"),"35%",IF(AND(W141="Correctivo",X141="Manual"),"25%",""))))))</f>
        <v>40%</v>
      </c>
      <c r="Z141" s="154" t="s">
        <v>18</v>
      </c>
      <c r="AA141" s="154" t="s">
        <v>21</v>
      </c>
      <c r="AB141" s="154" t="s">
        <v>112</v>
      </c>
      <c r="AC141" s="156">
        <f>IFERROR(IF(V141="Probabilidad",(N141-(+N141*Y141)),IF(V141="Impacto",N141,"")),"")</f>
        <v>0.6</v>
      </c>
      <c r="AD141" s="157" t="str">
        <f>IFERROR(IF(AC141="","",IF(AC141&lt;=0.2,"Muy Baja",IF(AC141&lt;=0.4,"Baja",IF(AC141&lt;=0.6,"Media",IF(AC141&lt;=0.8,"Alta","Muy Alta"))))),"")</f>
        <v>Media</v>
      </c>
      <c r="AE141" s="158">
        <f>+AC141</f>
        <v>0.6</v>
      </c>
      <c r="AF141" s="157" t="str">
        <f>IFERROR(IF(AG141="","",IF(AG141&lt;=0.2,"Leve",IF(AG141&lt;=0.4,"Menor",IF(AG141&lt;=0.6,"Moderado",IF(AG141&lt;=0.8,"Mayor","Catastrófico"))))),"")</f>
        <v>Catastrófico</v>
      </c>
      <c r="AG141" s="158">
        <f>IFERROR(IF(V141="Impacto",(R141-(+R141*Y141)),IF(V141="Probabilidad",R141,"")),"")</f>
        <v>1</v>
      </c>
      <c r="AH141" s="159" t="str">
        <f>IFERROR(IF(OR(AND(AD141="Muy Baja",AF141="Leve"),AND(AD141="Muy Baja",AF141="Menor"),AND(AD141="Baja",AF141="Leve")),"Bajo",IF(OR(AND(AD141="Muy baja",AF141="Moderado"),AND(AD141="Baja",AF141="Menor"),AND(AD141="Baja",AF141="Moderado"),AND(AD141="Media",AF141="Leve"),AND(AD141="Media",AF141="Menor"),AND(AD141="Media",AF141="Moderado"),AND(AD141="Alta",AF141="Leve"),AND(AD141="Alta",AF141="Menor")),"Moderado",IF(OR(AND(AD141="Muy Baja",AF141="Mayor"),AND(AD141="Baja",AF141="Mayor"),AND(AD141="Media",AF141="Mayor"),AND(AD141="Alta",AF141="Moderado"),AND(AD141="Alta",AF141="Mayor"),AND(AD141="Muy Alta",AF141="Leve"),AND(AD141="Muy Alta",AF141="Menor"),AND(AD141="Muy Alta",AF141="Moderado"),AND(AD141="Muy Alta",AF141="Mayor")),"Alto",IF(OR(AND(AD141="Muy Baja",AF141="Catastrófico"),AND(AD141="Baja",AF141="Catastrófico"),AND(AD141="Media",AF141="Catastrófico"),AND(AD141="Alta",AF141="Catastrófico"),AND(AD141="Muy Alta",AF141="Catastrófico")),"Extremo","")))),"")</f>
        <v>Extremo</v>
      </c>
      <c r="AI141" s="161" t="s">
        <v>117</v>
      </c>
      <c r="AJ141" s="196" t="s">
        <v>541</v>
      </c>
      <c r="AK141" s="186" t="s">
        <v>191</v>
      </c>
      <c r="AL141" s="188">
        <v>45293</v>
      </c>
      <c r="AM141" s="194">
        <v>45657</v>
      </c>
      <c r="AN141" s="184" t="s">
        <v>284</v>
      </c>
      <c r="AO141" s="190" t="s">
        <v>269</v>
      </c>
      <c r="AP141" s="196" t="s">
        <v>543</v>
      </c>
      <c r="AQ141" s="10"/>
      <c r="AR141" s="10"/>
      <c r="AS141" s="10"/>
      <c r="AT141" s="10"/>
      <c r="AU141" s="10"/>
      <c r="AV141" s="10"/>
      <c r="AW141" s="10"/>
      <c r="AX141" s="10"/>
      <c r="AY141" s="10"/>
      <c r="AZ141" s="10"/>
      <c r="BA141" s="10"/>
      <c r="BB141" s="10"/>
      <c r="BC141" s="10"/>
      <c r="BD141" s="10"/>
      <c r="BE141" s="10"/>
      <c r="BF141" s="10"/>
      <c r="BG141" s="10"/>
      <c r="BH141" s="10"/>
      <c r="BI141" s="10"/>
      <c r="BJ141" s="10"/>
      <c r="BK141" s="10"/>
      <c r="BL141" s="10"/>
      <c r="BM141" s="10"/>
      <c r="BN141" s="10"/>
      <c r="BO141" s="10"/>
      <c r="BP141" s="10"/>
      <c r="BQ141" s="10"/>
      <c r="BR141" s="10"/>
      <c r="BS141" s="10"/>
      <c r="BT141" s="10"/>
      <c r="BU141" s="10"/>
    </row>
    <row r="142" spans="1:73" ht="165" customHeight="1" x14ac:dyDescent="0.2">
      <c r="A142" s="214"/>
      <c r="B142" s="276"/>
      <c r="C142" s="241"/>
      <c r="D142" s="183"/>
      <c r="E142" s="181"/>
      <c r="F142" s="181"/>
      <c r="G142" s="181"/>
      <c r="H142" s="197"/>
      <c r="I142" s="242"/>
      <c r="J142" s="217"/>
      <c r="K142" s="183"/>
      <c r="L142" s="185"/>
      <c r="M142" s="205"/>
      <c r="N142" s="206"/>
      <c r="O142" s="203"/>
      <c r="P142" s="239">
        <f>IF(NOT(ISERROR(MATCH(O142,_xlfn.ANCHORARRAY(#REF!),0))),#REF!&amp;"Por favor no seleccionar los criterios de impacto",O142)</f>
        <v>0</v>
      </c>
      <c r="Q142" s="205"/>
      <c r="R142" s="206"/>
      <c r="S142" s="207"/>
      <c r="T142" s="152">
        <v>2</v>
      </c>
      <c r="U142" s="166" t="s">
        <v>540</v>
      </c>
      <c r="V142" s="153" t="str">
        <f>IF(OR(W142="Preventivo",W142="Detectivo"),"Probabilidad",IF(W142="Correctivo","Impacto",""))</f>
        <v>Probabilidad</v>
      </c>
      <c r="W142" s="154" t="s">
        <v>14</v>
      </c>
      <c r="X142" s="154" t="s">
        <v>8</v>
      </c>
      <c r="Y142" s="155" t="str">
        <f t="shared" ref="Y142:Y146" si="250">IF(AND(W142="Preventivo",X142="Automático"),"50%",IF(AND(W142="Preventivo",X142="Manual"),"40%",IF(AND(W142="Detectivo",X142="Automático"),"40%",IF(AND(W142="Detectivo",X142="Manual"),"30%",IF(AND(W142="Correctivo",X142="Automático"),"35%",IF(AND(W142="Correctivo",X142="Manual"),"25%",""))))))</f>
        <v>30%</v>
      </c>
      <c r="Z142" s="154" t="s">
        <v>18</v>
      </c>
      <c r="AA142" s="154" t="s">
        <v>21</v>
      </c>
      <c r="AB142" s="154" t="s">
        <v>112</v>
      </c>
      <c r="AC142" s="156">
        <f>IFERROR(IF(AND(V141="Probabilidad",V142="Probabilidad"),(AE141-(+AE141*Y142)),IF(V142="Probabilidad",(N141-(+N141*Y142)),IF(V142="Impacto",AE141,""))),"")</f>
        <v>0.42</v>
      </c>
      <c r="AD142" s="157" t="str">
        <f t="shared" ref="AD142:AD146" si="251">IFERROR(IF(AC142="","",IF(AC142&lt;=0.2,"Muy Baja",IF(AC142&lt;=0.4,"Baja",IF(AC142&lt;=0.6,"Media",IF(AC142&lt;=0.8,"Alta","Muy Alta"))))),"")</f>
        <v>Media</v>
      </c>
      <c r="AE142" s="158">
        <f t="shared" ref="AE142:AE146" si="252">+AC142</f>
        <v>0.42</v>
      </c>
      <c r="AF142" s="157" t="str">
        <f t="shared" ref="AF142:AF146" si="253">IFERROR(IF(AG142="","",IF(AG142&lt;=0.2,"Leve",IF(AG142&lt;=0.4,"Menor",IF(AG142&lt;=0.6,"Moderado",IF(AG142&lt;=0.8,"Mayor","Catastrófico"))))),"")</f>
        <v>Catastrófico</v>
      </c>
      <c r="AG142" s="158">
        <f>IFERROR(IF(AND(V141="Impacto",V142="Impacto"),(AG141-(+AG141*Y142)),IF(V142="Impacto",(R141-(+R141*Y142)),IF(V142="Probabilidad",AG141,""))),"")</f>
        <v>1</v>
      </c>
      <c r="AH142" s="159" t="str">
        <f t="shared" ref="AH142:AH143" si="254">IFERROR(IF(OR(AND(AD142="Muy Baja",AF142="Leve"),AND(AD142="Muy Baja",AF142="Menor"),AND(AD142="Baja",AF142="Leve")),"Bajo",IF(OR(AND(AD142="Muy baja",AF142="Moderado"),AND(AD142="Baja",AF142="Menor"),AND(AD142="Baja",AF142="Moderado"),AND(AD142="Media",AF142="Leve"),AND(AD142="Media",AF142="Menor"),AND(AD142="Media",AF142="Moderado"),AND(AD142="Alta",AF142="Leve"),AND(AD142="Alta",AF142="Menor")),"Moderado",IF(OR(AND(AD142="Muy Baja",AF142="Mayor"),AND(AD142="Baja",AF142="Mayor"),AND(AD142="Media",AF142="Mayor"),AND(AD142="Alta",AF142="Moderado"),AND(AD142="Alta",AF142="Mayor"),AND(AD142="Muy Alta",AF142="Leve"),AND(AD142="Muy Alta",AF142="Menor"),AND(AD142="Muy Alta",AF142="Moderado"),AND(AD142="Muy Alta",AF142="Mayor")),"Alto",IF(OR(AND(AD142="Muy Baja",AF142="Catastrófico"),AND(AD142="Baja",AF142="Catastrófico"),AND(AD142="Media",AF142="Catastrófico"),AND(AD142="Alta",AF142="Catastrófico"),AND(AD142="Muy Alta",AF142="Catastrófico")),"Extremo","")))),"")</f>
        <v>Extremo</v>
      </c>
      <c r="AI142" s="161" t="s">
        <v>117</v>
      </c>
      <c r="AJ142" s="197"/>
      <c r="AK142" s="185"/>
      <c r="AL142" s="187"/>
      <c r="AM142" s="195"/>
      <c r="AN142" s="183"/>
      <c r="AO142" s="190"/>
      <c r="AP142" s="197"/>
    </row>
    <row r="143" spans="1:73" ht="15" customHeight="1" x14ac:dyDescent="0.2">
      <c r="A143" s="214"/>
      <c r="B143" s="276"/>
      <c r="C143" s="241"/>
      <c r="D143" s="183"/>
      <c r="E143" s="181"/>
      <c r="F143" s="181"/>
      <c r="G143" s="181"/>
      <c r="H143" s="197"/>
      <c r="I143" s="242"/>
      <c r="J143" s="217"/>
      <c r="K143" s="183"/>
      <c r="L143" s="185"/>
      <c r="M143" s="205"/>
      <c r="N143" s="206"/>
      <c r="O143" s="203"/>
      <c r="P143" s="239">
        <f>IF(NOT(ISERROR(MATCH(O143,_xlfn.ANCHORARRAY(#REF!),0))),#REF!&amp;"Por favor no seleccionar los criterios de impacto",O143)</f>
        <v>0</v>
      </c>
      <c r="Q143" s="205"/>
      <c r="R143" s="206"/>
      <c r="S143" s="207"/>
      <c r="T143" s="152">
        <v>3</v>
      </c>
      <c r="U143" s="166"/>
      <c r="V143" s="153" t="str">
        <f>IF(OR(W143="Preventivo",W143="Detectivo"),"Probabilidad",IF(W143="Correctivo","Impacto",""))</f>
        <v/>
      </c>
      <c r="W143" s="154"/>
      <c r="X143" s="154"/>
      <c r="Y143" s="155" t="str">
        <f t="shared" si="250"/>
        <v/>
      </c>
      <c r="Z143" s="154"/>
      <c r="AA143" s="154"/>
      <c r="AB143" s="154"/>
      <c r="AC143" s="156" t="str">
        <f>IFERROR(IF(AND(V142="Probabilidad",V143="Probabilidad"),(AE142-(+AE142*Y143)),IF(AND(V142="Impacto",V143="Probabilidad"),(AE141-(+AE141*Y143)),IF(V143="Impacto",AE142,""))),"")</f>
        <v/>
      </c>
      <c r="AD143" s="157" t="str">
        <f t="shared" si="251"/>
        <v/>
      </c>
      <c r="AE143" s="158" t="str">
        <f t="shared" si="252"/>
        <v/>
      </c>
      <c r="AF143" s="157" t="str">
        <f t="shared" si="253"/>
        <v/>
      </c>
      <c r="AG143" s="158" t="str">
        <f>IFERROR(IF(AND(V142="Impacto",V143="Impacto"),(AG142-(+AG142*Y143)),IF(AND(V142="Probabilidad",V143="Impacto"),(AG141-(+AG141*Y143)),IF(V143="Probabilidad",AG142,""))),"")</f>
        <v/>
      </c>
      <c r="AH143" s="159" t="str">
        <f t="shared" si="254"/>
        <v/>
      </c>
      <c r="AI143" s="161"/>
      <c r="AJ143" s="197"/>
      <c r="AK143" s="185"/>
      <c r="AL143" s="187"/>
      <c r="AM143" s="195"/>
      <c r="AN143" s="183"/>
      <c r="AO143" s="190"/>
      <c r="AP143" s="197"/>
    </row>
    <row r="144" spans="1:73" ht="15" customHeight="1" x14ac:dyDescent="0.2">
      <c r="A144" s="214"/>
      <c r="B144" s="276"/>
      <c r="C144" s="241"/>
      <c r="D144" s="183"/>
      <c r="E144" s="181"/>
      <c r="F144" s="181"/>
      <c r="G144" s="181"/>
      <c r="H144" s="197"/>
      <c r="I144" s="242"/>
      <c r="J144" s="217"/>
      <c r="K144" s="183"/>
      <c r="L144" s="185"/>
      <c r="M144" s="205"/>
      <c r="N144" s="206"/>
      <c r="O144" s="203"/>
      <c r="P144" s="239">
        <f>IF(NOT(ISERROR(MATCH(O144,_xlfn.ANCHORARRAY(#REF!),0))),#REF!&amp;"Por favor no seleccionar los criterios de impacto",O144)</f>
        <v>0</v>
      </c>
      <c r="Q144" s="205"/>
      <c r="R144" s="206"/>
      <c r="S144" s="207"/>
      <c r="T144" s="152">
        <v>4</v>
      </c>
      <c r="U144" s="160"/>
      <c r="V144" s="153" t="str">
        <f t="shared" ref="V144:V146" si="255">IF(OR(W144="Preventivo",W144="Detectivo"),"Probabilidad",IF(W144="Correctivo","Impacto",""))</f>
        <v/>
      </c>
      <c r="W144" s="154"/>
      <c r="X144" s="154"/>
      <c r="Y144" s="155" t="str">
        <f t="shared" si="250"/>
        <v/>
      </c>
      <c r="Z144" s="154"/>
      <c r="AA144" s="154"/>
      <c r="AB144" s="154"/>
      <c r="AC144" s="156" t="str">
        <f t="shared" ref="AC144:AC146" si="256">IFERROR(IF(AND(V143="Probabilidad",V144="Probabilidad"),(AE143-(+AE143*Y144)),IF(AND(V143="Impacto",V144="Probabilidad"),(AE142-(+AE142*Y144)),IF(V144="Impacto",AE143,""))),"")</f>
        <v/>
      </c>
      <c r="AD144" s="157" t="str">
        <f t="shared" si="251"/>
        <v/>
      </c>
      <c r="AE144" s="158" t="str">
        <f t="shared" si="252"/>
        <v/>
      </c>
      <c r="AF144" s="157" t="str">
        <f t="shared" si="253"/>
        <v/>
      </c>
      <c r="AG144" s="158" t="str">
        <f t="shared" ref="AG144:AG146" si="257">IFERROR(IF(AND(V143="Impacto",V144="Impacto"),(AG143-(+AG143*Y144)),IF(AND(V143="Probabilidad",V144="Impacto"),(AG142-(+AG142*Y144)),IF(V144="Probabilidad",AG143,""))),"")</f>
        <v/>
      </c>
      <c r="AH144" s="159" t="str">
        <f>IFERROR(IF(OR(AND(AD144="Muy Baja",AF144="Leve"),AND(AD144="Muy Baja",AF144="Menor"),AND(AD144="Baja",AF144="Leve")),"Bajo",IF(OR(AND(AD144="Muy baja",AF144="Moderado"),AND(AD144="Baja",AF144="Menor"),AND(AD144="Baja",AF144="Moderado"),AND(AD144="Media",AF144="Leve"),AND(AD144="Media",AF144="Menor"),AND(AD144="Media",AF144="Moderado"),AND(AD144="Alta",AF144="Leve"),AND(AD144="Alta",AF144="Menor")),"Moderado",IF(OR(AND(AD144="Muy Baja",AF144="Mayor"),AND(AD144="Baja",AF144="Mayor"),AND(AD144="Media",AF144="Mayor"),AND(AD144="Alta",AF144="Moderado"),AND(AD144="Alta",AF144="Mayor"),AND(AD144="Muy Alta",AF144="Leve"),AND(AD144="Muy Alta",AF144="Menor"),AND(AD144="Muy Alta",AF144="Moderado"),AND(AD144="Muy Alta",AF144="Mayor")),"Alto",IF(OR(AND(AD144="Muy Baja",AF144="Catastrófico"),AND(AD144="Baja",AF144="Catastrófico"),AND(AD144="Media",AF144="Catastrófico"),AND(AD144="Alta",AF144="Catastrófico"),AND(AD144="Muy Alta",AF144="Catastrófico")),"Extremo","")))),"")</f>
        <v/>
      </c>
      <c r="AI144" s="161"/>
      <c r="AJ144" s="197"/>
      <c r="AK144" s="185"/>
      <c r="AL144" s="187"/>
      <c r="AM144" s="195"/>
      <c r="AN144" s="183"/>
      <c r="AO144" s="190"/>
      <c r="AP144" s="197"/>
    </row>
    <row r="145" spans="1:73" ht="15" customHeight="1" x14ac:dyDescent="0.2">
      <c r="A145" s="214"/>
      <c r="B145" s="276"/>
      <c r="C145" s="241"/>
      <c r="D145" s="183"/>
      <c r="E145" s="181"/>
      <c r="F145" s="181"/>
      <c r="G145" s="181"/>
      <c r="H145" s="197"/>
      <c r="I145" s="242"/>
      <c r="J145" s="217"/>
      <c r="K145" s="183"/>
      <c r="L145" s="185"/>
      <c r="M145" s="205"/>
      <c r="N145" s="206"/>
      <c r="O145" s="203"/>
      <c r="P145" s="239">
        <f>IF(NOT(ISERROR(MATCH(O145,_xlfn.ANCHORARRAY(#REF!),0))),N148&amp;"Por favor no seleccionar los criterios de impacto",O145)</f>
        <v>0</v>
      </c>
      <c r="Q145" s="205"/>
      <c r="R145" s="206"/>
      <c r="S145" s="207"/>
      <c r="T145" s="152">
        <v>5</v>
      </c>
      <c r="U145" s="160"/>
      <c r="V145" s="153" t="str">
        <f t="shared" si="255"/>
        <v/>
      </c>
      <c r="W145" s="154"/>
      <c r="X145" s="154"/>
      <c r="Y145" s="155" t="str">
        <f t="shared" si="250"/>
        <v/>
      </c>
      <c r="Z145" s="154"/>
      <c r="AA145" s="154"/>
      <c r="AB145" s="154"/>
      <c r="AC145" s="156" t="str">
        <f t="shared" si="256"/>
        <v/>
      </c>
      <c r="AD145" s="157" t="str">
        <f t="shared" si="251"/>
        <v/>
      </c>
      <c r="AE145" s="158" t="str">
        <f t="shared" si="252"/>
        <v/>
      </c>
      <c r="AF145" s="157" t="str">
        <f t="shared" si="253"/>
        <v/>
      </c>
      <c r="AG145" s="158" t="str">
        <f t="shared" si="257"/>
        <v/>
      </c>
      <c r="AH145" s="159" t="str">
        <f t="shared" ref="AH145:AH146" si="258">IFERROR(IF(OR(AND(AD145="Muy Baja",AF145="Leve"),AND(AD145="Muy Baja",AF145="Menor"),AND(AD145="Baja",AF145="Leve")),"Bajo",IF(OR(AND(AD145="Muy baja",AF145="Moderado"),AND(AD145="Baja",AF145="Menor"),AND(AD145="Baja",AF145="Moderado"),AND(AD145="Media",AF145="Leve"),AND(AD145="Media",AF145="Menor"),AND(AD145="Media",AF145="Moderado"),AND(AD145="Alta",AF145="Leve"),AND(AD145="Alta",AF145="Menor")),"Moderado",IF(OR(AND(AD145="Muy Baja",AF145="Mayor"),AND(AD145="Baja",AF145="Mayor"),AND(AD145="Media",AF145="Mayor"),AND(AD145="Alta",AF145="Moderado"),AND(AD145="Alta",AF145="Mayor"),AND(AD145="Muy Alta",AF145="Leve"),AND(AD145="Muy Alta",AF145="Menor"),AND(AD145="Muy Alta",AF145="Moderado"),AND(AD145="Muy Alta",AF145="Mayor")),"Alto",IF(OR(AND(AD145="Muy Baja",AF145="Catastrófico"),AND(AD145="Baja",AF145="Catastrófico"),AND(AD145="Media",AF145="Catastrófico"),AND(AD145="Alta",AF145="Catastrófico"),AND(AD145="Muy Alta",AF145="Catastrófico")),"Extremo","")))),"")</f>
        <v/>
      </c>
      <c r="AI145" s="161"/>
      <c r="AJ145" s="197"/>
      <c r="AK145" s="185"/>
      <c r="AL145" s="187"/>
      <c r="AM145" s="195"/>
      <c r="AN145" s="183"/>
      <c r="AO145" s="190"/>
      <c r="AP145" s="197"/>
    </row>
    <row r="146" spans="1:73" ht="15" customHeight="1" x14ac:dyDescent="0.2">
      <c r="A146" s="214"/>
      <c r="B146" s="276"/>
      <c r="C146" s="241"/>
      <c r="D146" s="183"/>
      <c r="E146" s="181"/>
      <c r="F146" s="181"/>
      <c r="G146" s="181"/>
      <c r="H146" s="197"/>
      <c r="I146" s="242"/>
      <c r="J146" s="217"/>
      <c r="K146" s="183"/>
      <c r="L146" s="185"/>
      <c r="M146" s="205"/>
      <c r="N146" s="206"/>
      <c r="O146" s="203"/>
      <c r="P146" s="239">
        <f>IF(NOT(ISERROR(MATCH(O146,_xlfn.ANCHORARRAY(#REF!),0))),N149&amp;"Por favor no seleccionar los criterios de impacto",O146)</f>
        <v>0</v>
      </c>
      <c r="Q146" s="205"/>
      <c r="R146" s="206"/>
      <c r="S146" s="207"/>
      <c r="T146" s="152">
        <v>6</v>
      </c>
      <c r="U146" s="160"/>
      <c r="V146" s="153" t="str">
        <f t="shared" si="255"/>
        <v/>
      </c>
      <c r="W146" s="154"/>
      <c r="X146" s="154"/>
      <c r="Y146" s="155" t="str">
        <f t="shared" si="250"/>
        <v/>
      </c>
      <c r="Z146" s="154"/>
      <c r="AA146" s="154"/>
      <c r="AB146" s="154"/>
      <c r="AC146" s="156" t="str">
        <f t="shared" si="256"/>
        <v/>
      </c>
      <c r="AD146" s="157" t="str">
        <f t="shared" si="251"/>
        <v/>
      </c>
      <c r="AE146" s="158" t="str">
        <f t="shared" si="252"/>
        <v/>
      </c>
      <c r="AF146" s="157" t="str">
        <f t="shared" si="253"/>
        <v/>
      </c>
      <c r="AG146" s="158" t="str">
        <f t="shared" si="257"/>
        <v/>
      </c>
      <c r="AH146" s="159" t="str">
        <f t="shared" si="258"/>
        <v/>
      </c>
      <c r="AI146" s="161"/>
      <c r="AJ146" s="197"/>
      <c r="AK146" s="185"/>
      <c r="AL146" s="187"/>
      <c r="AM146" s="195"/>
      <c r="AN146" s="183"/>
      <c r="AO146" s="191"/>
      <c r="AP146" s="197"/>
    </row>
    <row r="147" spans="1:73" ht="99.75" x14ac:dyDescent="0.2">
      <c r="A147" s="214">
        <v>26</v>
      </c>
      <c r="B147" s="241" t="s">
        <v>246</v>
      </c>
      <c r="C147" s="241" t="s">
        <v>544</v>
      </c>
      <c r="D147" s="183" t="s">
        <v>268</v>
      </c>
      <c r="E147" s="180" t="s">
        <v>545</v>
      </c>
      <c r="F147" s="180" t="s">
        <v>546</v>
      </c>
      <c r="G147" s="180" t="s">
        <v>547</v>
      </c>
      <c r="H147" s="196" t="s">
        <v>548</v>
      </c>
      <c r="I147" s="246" t="s">
        <v>549</v>
      </c>
      <c r="J147" s="218" t="s">
        <v>230</v>
      </c>
      <c r="K147" s="184" t="s">
        <v>227</v>
      </c>
      <c r="L147" s="186">
        <v>2112</v>
      </c>
      <c r="M147" s="205" t="str">
        <f t="shared" ref="M147" si="259">IF(L147&lt;=0,"",IF(L147&lt;=2,"Muy Baja",IF(L147&lt;=24,"Baja",IF(L147&lt;=500,"Media",IF(L147&lt;=5000,"Alta","Muy Alta")))))</f>
        <v>Alta</v>
      </c>
      <c r="N147" s="206">
        <f t="shared" ref="N147" si="260">IF(M147="","",IF(M147="Muy Baja",0.2,IF(M147="Baja",0.4,IF(M147="Media",0.6,IF(M147="Alta",0.8,IF(M147="Muy Alta",1,))))))</f>
        <v>0.8</v>
      </c>
      <c r="O147" s="211" t="s">
        <v>131</v>
      </c>
      <c r="P147" s="239" t="str">
        <f>IF(NOT(ISERROR(MATCH(O147,'Tabla Impacto'!$B$221:$B$223,0))),'Tabla Impacto'!$F$223&amp;"Por favor no seleccionar los criterios de impacto(Afectación Económica o presupuestal y Pérdida Reputacional)",O147)</f>
        <v xml:space="preserve">     Mayor a 500 SMLMV </v>
      </c>
      <c r="Q147" s="205" t="str">
        <f>IF(OR(P147='Tabla Impacto'!$C$11,P147='Tabla Impacto'!$D$11),"Leve",IF(OR(P147='Tabla Impacto'!$C$12,P147='Tabla Impacto'!$D$12),"Menor",IF(OR(P147='Tabla Impacto'!$C$13,P147='Tabla Impacto'!$D$13),"Moderado",IF(OR(P147='Tabla Impacto'!$C$14,P147='Tabla Impacto'!$D$14),"Mayor",IF(OR(P147='Tabla Impacto'!$C$15,P147='Tabla Impacto'!$D$15),"Catastrófico","")))))</f>
        <v>Catastrófico</v>
      </c>
      <c r="R147" s="206">
        <f t="shared" ref="R147" si="261">IF(Q147="","",IF(Q147="Leve",0.2,IF(Q147="Menor",0.4,IF(Q147="Moderado",0.6,IF(Q147="Mayor",0.8,IF(Q147="Catastrófico",1,))))))</f>
        <v>1</v>
      </c>
      <c r="S147" s="207" t="str">
        <f t="shared" ref="S147" si="262">IF(OR(AND(M147="Muy Baja",Q147="Leve"),AND(M147="Muy Baja",Q147="Menor"),AND(M147="Baja",Q147="Leve")),"Bajo",IF(OR(AND(M147="Muy baja",Q147="Moderado"),AND(M147="Baja",Q147="Menor"),AND(M147="Baja",Q147="Moderado"),AND(M147="Media",Q147="Leve"),AND(M147="Media",Q147="Menor"),AND(M147="Media",Q147="Moderado"),AND(M147="Alta",Q147="Leve"),AND(M147="Alta",Q147="Menor")),"Moderado",IF(OR(AND(M147="Muy Baja",Q147="Mayor"),AND(M147="Baja",Q147="Mayor"),AND(M147="Media",Q147="Mayor"),AND(M147="Alta",Q147="Moderado"),AND(M147="Alta",Q147="Mayor"),AND(M147="Muy Alta",Q147="Leve"),AND(M147="Muy Alta",Q147="Menor"),AND(M147="Muy Alta",Q147="Moderado"),AND(M147="Muy Alta",Q147="Mayor")),"Alto",IF(OR(AND(M147="Muy Baja",Q147="Catastrófico"),AND(M147="Baja",Q147="Catastrófico"),AND(M147="Media",Q147="Catastrófico"),AND(M147="Alta",Q147="Catastrófico"),AND(M147="Muy Alta",Q147="Catastrófico")),"Extremo",""))))</f>
        <v>Extremo</v>
      </c>
      <c r="T147" s="152">
        <v>1</v>
      </c>
      <c r="U147" s="173" t="s">
        <v>569</v>
      </c>
      <c r="V147" s="153" t="str">
        <f>IF(OR(W147="Preventivo",W147="Detectivo"),"Probabilidad",IF(W147="Correctivo","Impacto",""))</f>
        <v>Probabilidad</v>
      </c>
      <c r="W147" s="145" t="s">
        <v>13</v>
      </c>
      <c r="X147" s="145" t="s">
        <v>8</v>
      </c>
      <c r="Y147" s="155" t="str">
        <f>IF(AND(W147="Preventivo",X147="Automático"),"50%",IF(AND(W147="Preventivo",X147="Manual"),"40%",IF(AND(W147="Detectivo",X147="Automático"),"40%",IF(AND(W147="Detectivo",X147="Manual"),"30%",IF(AND(W147="Correctivo",X147="Automático"),"35%",IF(AND(W147="Correctivo",X147="Manual"),"25%",""))))))</f>
        <v>40%</v>
      </c>
      <c r="Z147" s="145" t="s">
        <v>18</v>
      </c>
      <c r="AA147" s="145" t="s">
        <v>21</v>
      </c>
      <c r="AB147" s="145" t="s">
        <v>112</v>
      </c>
      <c r="AC147" s="156">
        <f>IFERROR(IF(V147="Probabilidad",(N147-(+N147*Y147)),IF(V147="Impacto",N147,"")),"")</f>
        <v>0.48</v>
      </c>
      <c r="AD147" s="157" t="str">
        <f>IFERROR(IF(AC147="","",IF(AC147&lt;=0.2,"Muy Baja",IF(AC147&lt;=0.4,"Baja",IF(AC147&lt;=0.6,"Media",IF(AC147&lt;=0.8,"Alta","Muy Alta"))))),"")</f>
        <v>Media</v>
      </c>
      <c r="AE147" s="158">
        <f>+AC147</f>
        <v>0.48</v>
      </c>
      <c r="AF147" s="157" t="str">
        <f>IFERROR(IF(AG147="","",IF(AG147&lt;=0.2,"Leve",IF(AG147&lt;=0.4,"Menor",IF(AG147&lt;=0.6,"Moderado",IF(AG147&lt;=0.8,"Mayor","Catastrófico"))))),"")</f>
        <v>Catastrófico</v>
      </c>
      <c r="AG147" s="158">
        <f>IFERROR(IF(V147="Impacto",(R147-(+R147*Y147)),IF(V147="Probabilidad",R147,"")),"")</f>
        <v>1</v>
      </c>
      <c r="AH147" s="159" t="str">
        <f>IFERROR(IF(OR(AND(AD147="Muy Baja",AF147="Leve"),AND(AD147="Muy Baja",AF147="Menor"),AND(AD147="Baja",AF147="Leve")),"Bajo",IF(OR(AND(AD147="Muy baja",AF147="Moderado"),AND(AD147="Baja",AF147="Menor"),AND(AD147="Baja",AF147="Moderado"),AND(AD147="Media",AF147="Leve"),AND(AD147="Media",AF147="Menor"),AND(AD147="Media",AF147="Moderado"),AND(AD147="Alta",AF147="Leve"),AND(AD147="Alta",AF147="Menor")),"Moderado",IF(OR(AND(AD147="Muy Baja",AF147="Mayor"),AND(AD147="Baja",AF147="Mayor"),AND(AD147="Media",AF147="Mayor"),AND(AD147="Alta",AF147="Moderado"),AND(AD147="Alta",AF147="Mayor"),AND(AD147="Muy Alta",AF147="Leve"),AND(AD147="Muy Alta",AF147="Menor"),AND(AD147="Muy Alta",AF147="Moderado"),AND(AD147="Muy Alta",AF147="Mayor")),"Alto",IF(OR(AND(AD147="Muy Baja",AF147="Catastrófico"),AND(AD147="Baja",AF147="Catastrófico"),AND(AD147="Media",AF147="Catastrófico"),AND(AD147="Alta",AF147="Catastrófico"),AND(AD147="Muy Alta",AF147="Catastrófico")),"Extremo","")))),"")</f>
        <v>Extremo</v>
      </c>
      <c r="AI147" s="151" t="s">
        <v>117</v>
      </c>
      <c r="AJ147" s="196" t="s">
        <v>582</v>
      </c>
      <c r="AK147" s="185" t="s">
        <v>192</v>
      </c>
      <c r="AL147" s="187">
        <v>45293</v>
      </c>
      <c r="AM147" s="195">
        <v>45657</v>
      </c>
      <c r="AN147" s="183" t="s">
        <v>284</v>
      </c>
      <c r="AO147" s="192" t="s">
        <v>269</v>
      </c>
      <c r="AP147" s="197" t="s">
        <v>583</v>
      </c>
      <c r="AQ147" s="10"/>
      <c r="AR147" s="10"/>
      <c r="AS147" s="10"/>
      <c r="AT147" s="10"/>
      <c r="AU147" s="10"/>
      <c r="AV147" s="10"/>
      <c r="AW147" s="10"/>
      <c r="AX147" s="10"/>
      <c r="AY147" s="10"/>
      <c r="AZ147" s="10"/>
      <c r="BA147" s="10"/>
      <c r="BB147" s="10"/>
      <c r="BC147" s="10"/>
      <c r="BD147" s="10"/>
      <c r="BE147" s="10"/>
      <c r="BF147" s="10"/>
      <c r="BG147" s="10"/>
      <c r="BH147" s="10"/>
      <c r="BI147" s="10"/>
      <c r="BJ147" s="10"/>
      <c r="BK147" s="10"/>
      <c r="BL147" s="10"/>
      <c r="BM147" s="10"/>
      <c r="BN147" s="10"/>
      <c r="BO147" s="10"/>
      <c r="BP147" s="10"/>
      <c r="BQ147" s="10"/>
      <c r="BR147" s="10"/>
      <c r="BS147" s="10"/>
      <c r="BT147" s="10"/>
      <c r="BU147" s="10"/>
    </row>
    <row r="148" spans="1:73" ht="142.5" x14ac:dyDescent="0.2">
      <c r="A148" s="214"/>
      <c r="B148" s="241"/>
      <c r="C148" s="241"/>
      <c r="D148" s="183"/>
      <c r="E148" s="181"/>
      <c r="F148" s="181"/>
      <c r="G148" s="181"/>
      <c r="H148" s="197"/>
      <c r="I148" s="242"/>
      <c r="J148" s="217"/>
      <c r="K148" s="183"/>
      <c r="L148" s="185"/>
      <c r="M148" s="205"/>
      <c r="N148" s="206"/>
      <c r="O148" s="203"/>
      <c r="P148" s="239">
        <f>IF(NOT(ISERROR(MATCH(O148,_xlfn.ANCHORARRAY(#REF!),0))),#REF!&amp;"Por favor no seleccionar los criterios de impacto",O148)</f>
        <v>0</v>
      </c>
      <c r="Q148" s="205"/>
      <c r="R148" s="206"/>
      <c r="S148" s="207"/>
      <c r="T148" s="152">
        <v>2</v>
      </c>
      <c r="U148" s="166" t="s">
        <v>570</v>
      </c>
      <c r="V148" s="153" t="str">
        <f>IF(OR(W148="Preventivo",W148="Detectivo"),"Probabilidad",IF(W148="Correctivo","Impacto",""))</f>
        <v>Probabilidad</v>
      </c>
      <c r="W148" s="154" t="s">
        <v>13</v>
      </c>
      <c r="X148" s="154" t="s">
        <v>8</v>
      </c>
      <c r="Y148" s="155" t="str">
        <f t="shared" ref="Y148:Y152" si="263">IF(AND(W148="Preventivo",X148="Automático"),"50%",IF(AND(W148="Preventivo",X148="Manual"),"40%",IF(AND(W148="Detectivo",X148="Automático"),"40%",IF(AND(W148="Detectivo",X148="Manual"),"30%",IF(AND(W148="Correctivo",X148="Automático"),"35%",IF(AND(W148="Correctivo",X148="Manual"),"25%",""))))))</f>
        <v>40%</v>
      </c>
      <c r="Z148" s="154" t="s">
        <v>18</v>
      </c>
      <c r="AA148" s="154" t="s">
        <v>21</v>
      </c>
      <c r="AB148" s="154" t="s">
        <v>112</v>
      </c>
      <c r="AC148" s="156">
        <f>IFERROR(IF(AND(V147="Probabilidad",V148="Probabilidad"),(AE147-(+AE147*Y148)),IF(V148="Probabilidad",(N147-(+N147*Y148)),IF(V148="Impacto",AE147,""))),"")</f>
        <v>0.28799999999999998</v>
      </c>
      <c r="AD148" s="157" t="str">
        <f t="shared" ref="AD148:AD152" si="264">IFERROR(IF(AC148="","",IF(AC148&lt;=0.2,"Muy Baja",IF(AC148&lt;=0.4,"Baja",IF(AC148&lt;=0.6,"Media",IF(AC148&lt;=0.8,"Alta","Muy Alta"))))),"")</f>
        <v>Baja</v>
      </c>
      <c r="AE148" s="158">
        <f t="shared" ref="AE148:AE152" si="265">+AC148</f>
        <v>0.28799999999999998</v>
      </c>
      <c r="AF148" s="157" t="str">
        <f t="shared" ref="AF148:AF152" si="266">IFERROR(IF(AG148="","",IF(AG148&lt;=0.2,"Leve",IF(AG148&lt;=0.4,"Menor",IF(AG148&lt;=0.6,"Moderado",IF(AG148&lt;=0.8,"Mayor","Catastrófico"))))),"")</f>
        <v>Catastrófico</v>
      </c>
      <c r="AG148" s="158">
        <f>IFERROR(IF(AND(V147="Impacto",V148="Impacto"),(AG147-(+AG147*Y148)),IF(V148="Impacto",(R147-(+R147*Y148)),IF(V148="Probabilidad",AG147,""))),"")</f>
        <v>1</v>
      </c>
      <c r="AH148" s="159" t="str">
        <f t="shared" ref="AH148:AH149" si="267">IFERROR(IF(OR(AND(AD148="Muy Baja",AF148="Leve"),AND(AD148="Muy Baja",AF148="Menor"),AND(AD148="Baja",AF148="Leve")),"Bajo",IF(OR(AND(AD148="Muy baja",AF148="Moderado"),AND(AD148="Baja",AF148="Menor"),AND(AD148="Baja",AF148="Moderado"),AND(AD148="Media",AF148="Leve"),AND(AD148="Media",AF148="Menor"),AND(AD148="Media",AF148="Moderado"),AND(AD148="Alta",AF148="Leve"),AND(AD148="Alta",AF148="Menor")),"Moderado",IF(OR(AND(AD148="Muy Baja",AF148="Mayor"),AND(AD148="Baja",AF148="Mayor"),AND(AD148="Media",AF148="Mayor"),AND(AD148="Alta",AF148="Moderado"),AND(AD148="Alta",AF148="Mayor"),AND(AD148="Muy Alta",AF148="Leve"),AND(AD148="Muy Alta",AF148="Menor"),AND(AD148="Muy Alta",AF148="Moderado"),AND(AD148="Muy Alta",AF148="Mayor")),"Alto",IF(OR(AND(AD148="Muy Baja",AF148="Catastrófico"),AND(AD148="Baja",AF148="Catastrófico"),AND(AD148="Media",AF148="Catastrófico"),AND(AD148="Alta",AF148="Catastrófico"),AND(AD148="Muy Alta",AF148="Catastrófico")),"Extremo","")))),"")</f>
        <v>Extremo</v>
      </c>
      <c r="AI148" s="161" t="s">
        <v>117</v>
      </c>
      <c r="AJ148" s="197"/>
      <c r="AK148" s="185"/>
      <c r="AL148" s="187"/>
      <c r="AM148" s="195"/>
      <c r="AN148" s="183"/>
      <c r="AO148" s="192"/>
      <c r="AP148" s="197"/>
    </row>
    <row r="149" spans="1:73" ht="114" x14ac:dyDescent="0.2">
      <c r="A149" s="214"/>
      <c r="B149" s="241"/>
      <c r="C149" s="241"/>
      <c r="D149" s="183"/>
      <c r="E149" s="181"/>
      <c r="F149" s="181"/>
      <c r="G149" s="181"/>
      <c r="H149" s="197"/>
      <c r="I149" s="242"/>
      <c r="J149" s="217"/>
      <c r="K149" s="183"/>
      <c r="L149" s="185"/>
      <c r="M149" s="205"/>
      <c r="N149" s="206"/>
      <c r="O149" s="203"/>
      <c r="P149" s="239">
        <f>IF(NOT(ISERROR(MATCH(O149,_xlfn.ANCHORARRAY(#REF!),0))),#REF!&amp;"Por favor no seleccionar los criterios de impacto",O149)</f>
        <v>0</v>
      </c>
      <c r="Q149" s="205"/>
      <c r="R149" s="206"/>
      <c r="S149" s="207"/>
      <c r="T149" s="152">
        <v>3</v>
      </c>
      <c r="U149" s="166" t="s">
        <v>571</v>
      </c>
      <c r="V149" s="153" t="str">
        <f>IF(OR(W149="Preventivo",W149="Detectivo"),"Probabilidad",IF(W149="Correctivo","Impacto",""))</f>
        <v>Probabilidad</v>
      </c>
      <c r="W149" s="154" t="s">
        <v>14</v>
      </c>
      <c r="X149" s="154" t="s">
        <v>8</v>
      </c>
      <c r="Y149" s="155" t="str">
        <f t="shared" si="263"/>
        <v>30%</v>
      </c>
      <c r="Z149" s="154" t="s">
        <v>18</v>
      </c>
      <c r="AA149" s="154" t="s">
        <v>21</v>
      </c>
      <c r="AB149" s="154" t="s">
        <v>112</v>
      </c>
      <c r="AC149" s="156">
        <f>IFERROR(IF(AND(V148="Probabilidad",V149="Probabilidad"),(AE148-(+AE148*Y149)),IF(AND(V148="Impacto",V149="Probabilidad"),(AE147-(+AE147*Y149)),IF(V149="Impacto",AE148,""))),"")</f>
        <v>0.2016</v>
      </c>
      <c r="AD149" s="157" t="str">
        <f t="shared" si="264"/>
        <v>Baja</v>
      </c>
      <c r="AE149" s="158">
        <f t="shared" si="265"/>
        <v>0.2016</v>
      </c>
      <c r="AF149" s="157" t="str">
        <f t="shared" si="266"/>
        <v>Catastrófico</v>
      </c>
      <c r="AG149" s="158">
        <f>IFERROR(IF(AND(V148="Impacto",V149="Impacto"),(AG148-(+AG148*Y149)),IF(AND(V148="Probabilidad",V149="Impacto"),(AG147-(+AG147*Y149)),IF(V149="Probabilidad",AG148,""))),"")</f>
        <v>1</v>
      </c>
      <c r="AH149" s="159" t="str">
        <f t="shared" si="267"/>
        <v>Extremo</v>
      </c>
      <c r="AI149" s="161" t="s">
        <v>117</v>
      </c>
      <c r="AJ149" s="197"/>
      <c r="AK149" s="185"/>
      <c r="AL149" s="187"/>
      <c r="AM149" s="195"/>
      <c r="AN149" s="183"/>
      <c r="AO149" s="192"/>
      <c r="AP149" s="197"/>
    </row>
    <row r="150" spans="1:73" ht="15" customHeight="1" x14ac:dyDescent="0.2">
      <c r="A150" s="214"/>
      <c r="B150" s="241"/>
      <c r="C150" s="241"/>
      <c r="D150" s="183"/>
      <c r="E150" s="181"/>
      <c r="F150" s="181"/>
      <c r="G150" s="181"/>
      <c r="H150" s="197"/>
      <c r="I150" s="242"/>
      <c r="J150" s="217"/>
      <c r="K150" s="183"/>
      <c r="L150" s="185"/>
      <c r="M150" s="205"/>
      <c r="N150" s="206"/>
      <c r="O150" s="203"/>
      <c r="P150" s="239">
        <f>IF(NOT(ISERROR(MATCH(O150,_xlfn.ANCHORARRAY(#REF!),0))),#REF!&amp;"Por favor no seleccionar los criterios de impacto",O150)</f>
        <v>0</v>
      </c>
      <c r="Q150" s="205"/>
      <c r="R150" s="206"/>
      <c r="S150" s="207"/>
      <c r="T150" s="152">
        <v>4</v>
      </c>
      <c r="U150" s="160"/>
      <c r="V150" s="153" t="str">
        <f t="shared" ref="V150:V152" si="268">IF(OR(W150="Preventivo",W150="Detectivo"),"Probabilidad",IF(W150="Correctivo","Impacto",""))</f>
        <v/>
      </c>
      <c r="W150" s="154"/>
      <c r="X150" s="154"/>
      <c r="Y150" s="155" t="str">
        <f t="shared" si="263"/>
        <v/>
      </c>
      <c r="Z150" s="154"/>
      <c r="AA150" s="154"/>
      <c r="AB150" s="154"/>
      <c r="AC150" s="156" t="str">
        <f t="shared" ref="AC150:AC152" si="269">IFERROR(IF(AND(V149="Probabilidad",V150="Probabilidad"),(AE149-(+AE149*Y150)),IF(AND(V149="Impacto",V150="Probabilidad"),(AE148-(+AE148*Y150)),IF(V150="Impacto",AE149,""))),"")</f>
        <v/>
      </c>
      <c r="AD150" s="157" t="str">
        <f t="shared" si="264"/>
        <v/>
      </c>
      <c r="AE150" s="158" t="str">
        <f t="shared" si="265"/>
        <v/>
      </c>
      <c r="AF150" s="157" t="str">
        <f t="shared" si="266"/>
        <v/>
      </c>
      <c r="AG150" s="158" t="str">
        <f t="shared" ref="AG150:AG152" si="270">IFERROR(IF(AND(V149="Impacto",V150="Impacto"),(AG149-(+AG149*Y150)),IF(AND(V149="Probabilidad",V150="Impacto"),(AG148-(+AG148*Y150)),IF(V150="Probabilidad",AG149,""))),"")</f>
        <v/>
      </c>
      <c r="AH150" s="159" t="str">
        <f>IFERROR(IF(OR(AND(AD150="Muy Baja",AF150="Leve"),AND(AD150="Muy Baja",AF150="Menor"),AND(AD150="Baja",AF150="Leve")),"Bajo",IF(OR(AND(AD150="Muy baja",AF150="Moderado"),AND(AD150="Baja",AF150="Menor"),AND(AD150="Baja",AF150="Moderado"),AND(AD150="Media",AF150="Leve"),AND(AD150="Media",AF150="Menor"),AND(AD150="Media",AF150="Moderado"),AND(AD150="Alta",AF150="Leve"),AND(AD150="Alta",AF150="Menor")),"Moderado",IF(OR(AND(AD150="Muy Baja",AF150="Mayor"),AND(AD150="Baja",AF150="Mayor"),AND(AD150="Media",AF150="Mayor"),AND(AD150="Alta",AF150="Moderado"),AND(AD150="Alta",AF150="Mayor"),AND(AD150="Muy Alta",AF150="Leve"),AND(AD150="Muy Alta",AF150="Menor"),AND(AD150="Muy Alta",AF150="Moderado"),AND(AD150="Muy Alta",AF150="Mayor")),"Alto",IF(OR(AND(AD150="Muy Baja",AF150="Catastrófico"),AND(AD150="Baja",AF150="Catastrófico"),AND(AD150="Media",AF150="Catastrófico"),AND(AD150="Alta",AF150="Catastrófico"),AND(AD150="Muy Alta",AF150="Catastrófico")),"Extremo","")))),"")</f>
        <v/>
      </c>
      <c r="AI150" s="161"/>
      <c r="AJ150" s="197"/>
      <c r="AK150" s="185"/>
      <c r="AL150" s="187"/>
      <c r="AM150" s="195"/>
      <c r="AN150" s="183"/>
      <c r="AO150" s="192"/>
      <c r="AP150" s="197"/>
    </row>
    <row r="151" spans="1:73" ht="15" customHeight="1" x14ac:dyDescent="0.2">
      <c r="A151" s="214"/>
      <c r="B151" s="241"/>
      <c r="C151" s="241"/>
      <c r="D151" s="183"/>
      <c r="E151" s="181"/>
      <c r="F151" s="181"/>
      <c r="G151" s="181"/>
      <c r="H151" s="197"/>
      <c r="I151" s="242"/>
      <c r="J151" s="217"/>
      <c r="K151" s="183"/>
      <c r="L151" s="185"/>
      <c r="M151" s="205"/>
      <c r="N151" s="206"/>
      <c r="O151" s="203"/>
      <c r="P151" s="239">
        <f>IF(NOT(ISERROR(MATCH(O151,_xlfn.ANCHORARRAY(#REF!),0))),N154&amp;"Por favor no seleccionar los criterios de impacto",O151)</f>
        <v>0</v>
      </c>
      <c r="Q151" s="205"/>
      <c r="R151" s="206"/>
      <c r="S151" s="207"/>
      <c r="T151" s="152">
        <v>5</v>
      </c>
      <c r="U151" s="160"/>
      <c r="V151" s="153" t="str">
        <f t="shared" si="268"/>
        <v/>
      </c>
      <c r="W151" s="154"/>
      <c r="X151" s="154"/>
      <c r="Y151" s="155" t="str">
        <f t="shared" si="263"/>
        <v/>
      </c>
      <c r="Z151" s="154"/>
      <c r="AA151" s="154"/>
      <c r="AB151" s="154"/>
      <c r="AC151" s="156" t="str">
        <f t="shared" si="269"/>
        <v/>
      </c>
      <c r="AD151" s="157" t="str">
        <f t="shared" si="264"/>
        <v/>
      </c>
      <c r="AE151" s="158" t="str">
        <f t="shared" si="265"/>
        <v/>
      </c>
      <c r="AF151" s="157" t="str">
        <f t="shared" si="266"/>
        <v/>
      </c>
      <c r="AG151" s="158" t="str">
        <f t="shared" si="270"/>
        <v/>
      </c>
      <c r="AH151" s="159" t="str">
        <f t="shared" ref="AH151:AH152" si="271">IFERROR(IF(OR(AND(AD151="Muy Baja",AF151="Leve"),AND(AD151="Muy Baja",AF151="Menor"),AND(AD151="Baja",AF151="Leve")),"Bajo",IF(OR(AND(AD151="Muy baja",AF151="Moderado"),AND(AD151="Baja",AF151="Menor"),AND(AD151="Baja",AF151="Moderado"),AND(AD151="Media",AF151="Leve"),AND(AD151="Media",AF151="Menor"),AND(AD151="Media",AF151="Moderado"),AND(AD151="Alta",AF151="Leve"),AND(AD151="Alta",AF151="Menor")),"Moderado",IF(OR(AND(AD151="Muy Baja",AF151="Mayor"),AND(AD151="Baja",AF151="Mayor"),AND(AD151="Media",AF151="Mayor"),AND(AD151="Alta",AF151="Moderado"),AND(AD151="Alta",AF151="Mayor"),AND(AD151="Muy Alta",AF151="Leve"),AND(AD151="Muy Alta",AF151="Menor"),AND(AD151="Muy Alta",AF151="Moderado"),AND(AD151="Muy Alta",AF151="Mayor")),"Alto",IF(OR(AND(AD151="Muy Baja",AF151="Catastrófico"),AND(AD151="Baja",AF151="Catastrófico"),AND(AD151="Media",AF151="Catastrófico"),AND(AD151="Alta",AF151="Catastrófico"),AND(AD151="Muy Alta",AF151="Catastrófico")),"Extremo","")))),"")</f>
        <v/>
      </c>
      <c r="AI151" s="161"/>
      <c r="AJ151" s="197"/>
      <c r="AK151" s="185"/>
      <c r="AL151" s="187"/>
      <c r="AM151" s="195"/>
      <c r="AN151" s="183"/>
      <c r="AO151" s="192"/>
      <c r="AP151" s="197"/>
    </row>
    <row r="152" spans="1:73" ht="15" customHeight="1" x14ac:dyDescent="0.2">
      <c r="A152" s="214"/>
      <c r="B152" s="241"/>
      <c r="C152" s="241"/>
      <c r="D152" s="183"/>
      <c r="E152" s="181"/>
      <c r="F152" s="181"/>
      <c r="G152" s="181"/>
      <c r="H152" s="197"/>
      <c r="I152" s="242"/>
      <c r="J152" s="217"/>
      <c r="K152" s="183"/>
      <c r="L152" s="185"/>
      <c r="M152" s="205"/>
      <c r="N152" s="206"/>
      <c r="O152" s="203"/>
      <c r="P152" s="239">
        <f>IF(NOT(ISERROR(MATCH(O152,_xlfn.ANCHORARRAY(#REF!),0))),N155&amp;"Por favor no seleccionar los criterios de impacto",O152)</f>
        <v>0</v>
      </c>
      <c r="Q152" s="205"/>
      <c r="R152" s="206"/>
      <c r="S152" s="207"/>
      <c r="T152" s="152">
        <v>6</v>
      </c>
      <c r="U152" s="160"/>
      <c r="V152" s="153" t="str">
        <f t="shared" si="268"/>
        <v/>
      </c>
      <c r="W152" s="154"/>
      <c r="X152" s="154"/>
      <c r="Y152" s="155" t="str">
        <f t="shared" si="263"/>
        <v/>
      </c>
      <c r="Z152" s="154"/>
      <c r="AA152" s="154"/>
      <c r="AB152" s="154"/>
      <c r="AC152" s="156" t="str">
        <f t="shared" si="269"/>
        <v/>
      </c>
      <c r="AD152" s="157" t="str">
        <f t="shared" si="264"/>
        <v/>
      </c>
      <c r="AE152" s="158" t="str">
        <f t="shared" si="265"/>
        <v/>
      </c>
      <c r="AF152" s="157" t="str">
        <f t="shared" si="266"/>
        <v/>
      </c>
      <c r="AG152" s="158" t="str">
        <f t="shared" si="270"/>
        <v/>
      </c>
      <c r="AH152" s="159" t="str">
        <f t="shared" si="271"/>
        <v/>
      </c>
      <c r="AI152" s="161"/>
      <c r="AJ152" s="197"/>
      <c r="AK152" s="185"/>
      <c r="AL152" s="187"/>
      <c r="AM152" s="195"/>
      <c r="AN152" s="183"/>
      <c r="AO152" s="192"/>
      <c r="AP152" s="197"/>
    </row>
    <row r="153" spans="1:73" ht="85.5" x14ac:dyDescent="0.2">
      <c r="A153" s="214">
        <v>27</v>
      </c>
      <c r="B153" s="241" t="s">
        <v>246</v>
      </c>
      <c r="C153" s="241" t="s">
        <v>544</v>
      </c>
      <c r="D153" s="183" t="s">
        <v>268</v>
      </c>
      <c r="E153" s="181" t="s">
        <v>550</v>
      </c>
      <c r="F153" s="181" t="s">
        <v>551</v>
      </c>
      <c r="G153" s="181" t="s">
        <v>552</v>
      </c>
      <c r="H153" s="197" t="s">
        <v>553</v>
      </c>
      <c r="I153" s="242" t="s">
        <v>554</v>
      </c>
      <c r="J153" s="217" t="s">
        <v>230</v>
      </c>
      <c r="K153" s="183" t="s">
        <v>227</v>
      </c>
      <c r="L153" s="185">
        <v>1000</v>
      </c>
      <c r="M153" s="205" t="str">
        <f t="shared" ref="M153" si="272">IF(L153&lt;=0,"",IF(L153&lt;=2,"Muy Baja",IF(L153&lt;=24,"Baja",IF(L153&lt;=500,"Media",IF(L153&lt;=5000,"Alta","Muy Alta")))))</f>
        <v>Alta</v>
      </c>
      <c r="N153" s="206">
        <f t="shared" ref="N153" si="273">IF(M153="","",IF(M153="Muy Baja",0.2,IF(M153="Baja",0.4,IF(M153="Media",0.6,IF(M153="Alta",0.8,IF(M153="Muy Alta",1,))))))</f>
        <v>0.8</v>
      </c>
      <c r="O153" s="203" t="s">
        <v>134</v>
      </c>
      <c r="P153" s="239" t="str">
        <f>IF(NOT(ISERROR(MATCH(O153,'Tabla Impacto'!$B$221:$B$223,0))),'Tabla Impacto'!$F$223&amp;"Por favor no seleccionar los criterios de impacto(Afectación Económica o presupuestal y Pérdida Reputacional)",O153)</f>
        <v xml:space="preserve">     El riesgo afecta la imagen de la entidad con algunos usuarios de relevancia frente al logro de los objetivos</v>
      </c>
      <c r="Q153" s="205" t="str">
        <f>IF(OR(P153='Tabla Impacto'!$C$11,P153='Tabla Impacto'!$D$11),"Leve",IF(OR(P153='Tabla Impacto'!$C$12,P153='Tabla Impacto'!$D$12),"Menor",IF(OR(P153='Tabla Impacto'!$C$13,P153='Tabla Impacto'!$D$13),"Moderado",IF(OR(P153='Tabla Impacto'!$C$14,P153='Tabla Impacto'!$D$14),"Mayor",IF(OR(P153='Tabla Impacto'!$C$15,P153='Tabla Impacto'!$D$15),"Catastrófico","")))))</f>
        <v>Moderado</v>
      </c>
      <c r="R153" s="206">
        <f t="shared" ref="R153" si="274">IF(Q153="","",IF(Q153="Leve",0.2,IF(Q153="Menor",0.4,IF(Q153="Moderado",0.6,IF(Q153="Mayor",0.8,IF(Q153="Catastrófico",1,))))))</f>
        <v>0.6</v>
      </c>
      <c r="S153" s="207" t="str">
        <f t="shared" ref="S153" si="275">IF(OR(AND(M153="Muy Baja",Q153="Leve"),AND(M153="Muy Baja",Q153="Menor"),AND(M153="Baja",Q153="Leve")),"Bajo",IF(OR(AND(M153="Muy baja",Q153="Moderado"),AND(M153="Baja",Q153="Menor"),AND(M153="Baja",Q153="Moderado"),AND(M153="Media",Q153="Leve"),AND(M153="Media",Q153="Menor"),AND(M153="Media",Q153="Moderado"),AND(M153="Alta",Q153="Leve"),AND(M153="Alta",Q153="Menor")),"Moderado",IF(OR(AND(M153="Muy Baja",Q153="Mayor"),AND(M153="Baja",Q153="Mayor"),AND(M153="Media",Q153="Mayor"),AND(M153="Alta",Q153="Moderado"),AND(M153="Alta",Q153="Mayor"),AND(M153="Muy Alta",Q153="Leve"),AND(M153="Muy Alta",Q153="Menor"),AND(M153="Muy Alta",Q153="Moderado"),AND(M153="Muy Alta",Q153="Mayor")),"Alto",IF(OR(AND(M153="Muy Baja",Q153="Catastrófico"),AND(M153="Baja",Q153="Catastrófico"),AND(M153="Media",Q153="Catastrófico"),AND(M153="Alta",Q153="Catastrófico"),AND(M153="Muy Alta",Q153="Catastrófico")),"Extremo",""))))</f>
        <v>Alto</v>
      </c>
      <c r="T153" s="152">
        <v>1</v>
      </c>
      <c r="U153" s="166" t="s">
        <v>572</v>
      </c>
      <c r="V153" s="153" t="str">
        <f>IF(OR(W153="Preventivo",W153="Detectivo"),"Probabilidad",IF(W153="Correctivo","Impacto",""))</f>
        <v>Probabilidad</v>
      </c>
      <c r="W153" s="154" t="s">
        <v>13</v>
      </c>
      <c r="X153" s="154" t="s">
        <v>8</v>
      </c>
      <c r="Y153" s="155" t="str">
        <f>IF(AND(W153="Preventivo",X153="Automático"),"50%",IF(AND(W153="Preventivo",X153="Manual"),"40%",IF(AND(W153="Detectivo",X153="Automático"),"40%",IF(AND(W153="Detectivo",X153="Manual"),"30%",IF(AND(W153="Correctivo",X153="Automático"),"35%",IF(AND(W153="Correctivo",X153="Manual"),"25%",""))))))</f>
        <v>40%</v>
      </c>
      <c r="Z153" s="154" t="s">
        <v>18</v>
      </c>
      <c r="AA153" s="154" t="s">
        <v>21</v>
      </c>
      <c r="AB153" s="154" t="s">
        <v>112</v>
      </c>
      <c r="AC153" s="156">
        <f>IFERROR(IF(V153="Probabilidad",(N153-(+N153*Y153)),IF(V153="Impacto",N153,"")),"")</f>
        <v>0.48</v>
      </c>
      <c r="AD153" s="157" t="str">
        <f>IFERROR(IF(AC153="","",IF(AC153&lt;=0.2,"Muy Baja",IF(AC153&lt;=0.4,"Baja",IF(AC153&lt;=0.6,"Media",IF(AC153&lt;=0.8,"Alta","Muy Alta"))))),"")</f>
        <v>Media</v>
      </c>
      <c r="AE153" s="158">
        <f>+AC153</f>
        <v>0.48</v>
      </c>
      <c r="AF153" s="157" t="str">
        <f>IFERROR(IF(AG153="","",IF(AG153&lt;=0.2,"Leve",IF(AG153&lt;=0.4,"Menor",IF(AG153&lt;=0.6,"Moderado",IF(AG153&lt;=0.8,"Mayor","Catastrófico"))))),"")</f>
        <v>Moderado</v>
      </c>
      <c r="AG153" s="158">
        <f>IFERROR(IF(V153="Impacto",(R153-(+R153*Y153)),IF(V153="Probabilidad",R153,"")),"")</f>
        <v>0.6</v>
      </c>
      <c r="AH153" s="159" t="str">
        <f>IFERROR(IF(OR(AND(AD153="Muy Baja",AF153="Leve"),AND(AD153="Muy Baja",AF153="Menor"),AND(AD153="Baja",AF153="Leve")),"Bajo",IF(OR(AND(AD153="Muy baja",AF153="Moderado"),AND(AD153="Baja",AF153="Menor"),AND(AD153="Baja",AF153="Moderado"),AND(AD153="Media",AF153="Leve"),AND(AD153="Media",AF153="Menor"),AND(AD153="Media",AF153="Moderado"),AND(AD153="Alta",AF153="Leve"),AND(AD153="Alta",AF153="Menor")),"Moderado",IF(OR(AND(AD153="Muy Baja",AF153="Mayor"),AND(AD153="Baja",AF153="Mayor"),AND(AD153="Media",AF153="Mayor"),AND(AD153="Alta",AF153="Moderado"),AND(AD153="Alta",AF153="Mayor"),AND(AD153="Muy Alta",AF153="Leve"),AND(AD153="Muy Alta",AF153="Menor"),AND(AD153="Muy Alta",AF153="Moderado"),AND(AD153="Muy Alta",AF153="Mayor")),"Alto",IF(OR(AND(AD153="Muy Baja",AF153="Catastrófico"),AND(AD153="Baja",AF153="Catastrófico"),AND(AD153="Media",AF153="Catastrófico"),AND(AD153="Alta",AF153="Catastrófico"),AND(AD153="Muy Alta",AF153="Catastrófico")),"Extremo","")))),"")</f>
        <v>Moderado</v>
      </c>
      <c r="AI153" s="161" t="s">
        <v>29</v>
      </c>
      <c r="AJ153" s="196" t="s">
        <v>584</v>
      </c>
      <c r="AK153" s="185" t="s">
        <v>192</v>
      </c>
      <c r="AL153" s="187">
        <v>45293</v>
      </c>
      <c r="AM153" s="195">
        <v>45657</v>
      </c>
      <c r="AN153" s="183" t="s">
        <v>284</v>
      </c>
      <c r="AO153" s="192" t="s">
        <v>269</v>
      </c>
      <c r="AP153" s="197" t="s">
        <v>585</v>
      </c>
      <c r="AQ153" s="10"/>
      <c r="AR153" s="10"/>
      <c r="AS153" s="10"/>
      <c r="AT153" s="10"/>
      <c r="AU153" s="10"/>
      <c r="AV153" s="10"/>
      <c r="AW153" s="10"/>
      <c r="AX153" s="10"/>
      <c r="AY153" s="10"/>
      <c r="AZ153" s="10"/>
      <c r="BA153" s="10"/>
      <c r="BB153" s="10"/>
      <c r="BC153" s="10"/>
      <c r="BD153" s="10"/>
      <c r="BE153" s="10"/>
      <c r="BF153" s="10"/>
      <c r="BG153" s="10"/>
      <c r="BH153" s="10"/>
      <c r="BI153" s="10"/>
      <c r="BJ153" s="10"/>
      <c r="BK153" s="10"/>
      <c r="BL153" s="10"/>
      <c r="BM153" s="10"/>
      <c r="BN153" s="10"/>
      <c r="BO153" s="10"/>
      <c r="BP153" s="10"/>
      <c r="BQ153" s="10"/>
      <c r="BR153" s="10"/>
      <c r="BS153" s="10"/>
      <c r="BT153" s="10"/>
      <c r="BU153" s="10"/>
    </row>
    <row r="154" spans="1:73" ht="114" x14ac:dyDescent="0.2">
      <c r="A154" s="214"/>
      <c r="B154" s="241"/>
      <c r="C154" s="241"/>
      <c r="D154" s="183"/>
      <c r="E154" s="181"/>
      <c r="F154" s="181"/>
      <c r="G154" s="181"/>
      <c r="H154" s="197"/>
      <c r="I154" s="242"/>
      <c r="J154" s="217"/>
      <c r="K154" s="183"/>
      <c r="L154" s="185"/>
      <c r="M154" s="205"/>
      <c r="N154" s="206"/>
      <c r="O154" s="203"/>
      <c r="P154" s="239">
        <f>IF(NOT(ISERROR(MATCH(O154,_xlfn.ANCHORARRAY(#REF!),0))),#REF!&amp;"Por favor no seleccionar los criterios de impacto",O154)</f>
        <v>0</v>
      </c>
      <c r="Q154" s="205"/>
      <c r="R154" s="206"/>
      <c r="S154" s="207"/>
      <c r="T154" s="152">
        <v>2</v>
      </c>
      <c r="U154" s="166" t="s">
        <v>573</v>
      </c>
      <c r="V154" s="153" t="str">
        <f>IF(OR(W154="Preventivo",W154="Detectivo"),"Probabilidad",IF(W154="Correctivo","Impacto",""))</f>
        <v>Probabilidad</v>
      </c>
      <c r="W154" s="154" t="s">
        <v>13</v>
      </c>
      <c r="X154" s="154" t="s">
        <v>8</v>
      </c>
      <c r="Y154" s="155" t="str">
        <f t="shared" ref="Y154:Y158" si="276">IF(AND(W154="Preventivo",X154="Automático"),"50%",IF(AND(W154="Preventivo",X154="Manual"),"40%",IF(AND(W154="Detectivo",X154="Automático"),"40%",IF(AND(W154="Detectivo",X154="Manual"),"30%",IF(AND(W154="Correctivo",X154="Automático"),"35%",IF(AND(W154="Correctivo",X154="Manual"),"25%",""))))))</f>
        <v>40%</v>
      </c>
      <c r="Z154" s="154" t="s">
        <v>18</v>
      </c>
      <c r="AA154" s="154" t="s">
        <v>21</v>
      </c>
      <c r="AB154" s="154" t="s">
        <v>112</v>
      </c>
      <c r="AC154" s="156">
        <f>IFERROR(IF(AND(V153="Probabilidad",V154="Probabilidad"),(AE153-(+AE153*Y154)),IF(V154="Probabilidad",(N153-(+N153*Y154)),IF(V154="Impacto",AE153,""))),"")</f>
        <v>0.28799999999999998</v>
      </c>
      <c r="AD154" s="157" t="str">
        <f t="shared" ref="AD154:AD158" si="277">IFERROR(IF(AC154="","",IF(AC154&lt;=0.2,"Muy Baja",IF(AC154&lt;=0.4,"Baja",IF(AC154&lt;=0.6,"Media",IF(AC154&lt;=0.8,"Alta","Muy Alta"))))),"")</f>
        <v>Baja</v>
      </c>
      <c r="AE154" s="158">
        <f t="shared" ref="AE154:AE158" si="278">+AC154</f>
        <v>0.28799999999999998</v>
      </c>
      <c r="AF154" s="157" t="str">
        <f t="shared" ref="AF154:AF158" si="279">IFERROR(IF(AG154="","",IF(AG154&lt;=0.2,"Leve",IF(AG154&lt;=0.4,"Menor",IF(AG154&lt;=0.6,"Moderado",IF(AG154&lt;=0.8,"Mayor","Catastrófico"))))),"")</f>
        <v>Moderado</v>
      </c>
      <c r="AG154" s="158">
        <f>IFERROR(IF(AND(V153="Impacto",V154="Impacto"),(AG153-(+AG153*Y154)),IF(V154="Impacto",(R153-(+R153*Y154)),IF(V154="Probabilidad",AG153,""))),"")</f>
        <v>0.6</v>
      </c>
      <c r="AH154" s="159" t="str">
        <f t="shared" ref="AH154:AH155" si="280">IFERROR(IF(OR(AND(AD154="Muy Baja",AF154="Leve"),AND(AD154="Muy Baja",AF154="Menor"),AND(AD154="Baja",AF154="Leve")),"Bajo",IF(OR(AND(AD154="Muy baja",AF154="Moderado"),AND(AD154="Baja",AF154="Menor"),AND(AD154="Baja",AF154="Moderado"),AND(AD154="Media",AF154="Leve"),AND(AD154="Media",AF154="Menor"),AND(AD154="Media",AF154="Moderado"),AND(AD154="Alta",AF154="Leve"),AND(AD154="Alta",AF154="Menor")),"Moderado",IF(OR(AND(AD154="Muy Baja",AF154="Mayor"),AND(AD154="Baja",AF154="Mayor"),AND(AD154="Media",AF154="Mayor"),AND(AD154="Alta",AF154="Moderado"),AND(AD154="Alta",AF154="Mayor"),AND(AD154="Muy Alta",AF154="Leve"),AND(AD154="Muy Alta",AF154="Menor"),AND(AD154="Muy Alta",AF154="Moderado"),AND(AD154="Muy Alta",AF154="Mayor")),"Alto",IF(OR(AND(AD154="Muy Baja",AF154="Catastrófico"),AND(AD154="Baja",AF154="Catastrófico"),AND(AD154="Media",AF154="Catastrófico"),AND(AD154="Alta",AF154="Catastrófico"),AND(AD154="Muy Alta",AF154="Catastrófico")),"Extremo","")))),"")</f>
        <v>Moderado</v>
      </c>
      <c r="AI154" s="161" t="s">
        <v>29</v>
      </c>
      <c r="AJ154" s="197"/>
      <c r="AK154" s="185"/>
      <c r="AL154" s="187"/>
      <c r="AM154" s="195"/>
      <c r="AN154" s="183"/>
      <c r="AO154" s="192"/>
      <c r="AP154" s="197"/>
    </row>
    <row r="155" spans="1:73" ht="75" x14ac:dyDescent="0.2">
      <c r="A155" s="214"/>
      <c r="B155" s="241"/>
      <c r="C155" s="241"/>
      <c r="D155" s="183"/>
      <c r="E155" s="181"/>
      <c r="F155" s="181"/>
      <c r="G155" s="181"/>
      <c r="H155" s="197"/>
      <c r="I155" s="242"/>
      <c r="J155" s="217"/>
      <c r="K155" s="183"/>
      <c r="L155" s="185"/>
      <c r="M155" s="205"/>
      <c r="N155" s="206"/>
      <c r="O155" s="203"/>
      <c r="P155" s="239">
        <f>IF(NOT(ISERROR(MATCH(O155,_xlfn.ANCHORARRAY(#REF!),0))),#REF!&amp;"Por favor no seleccionar los criterios de impacto",O155)</f>
        <v>0</v>
      </c>
      <c r="Q155" s="205"/>
      <c r="R155" s="206"/>
      <c r="S155" s="207"/>
      <c r="T155" s="152">
        <v>3</v>
      </c>
      <c r="U155" s="166" t="s">
        <v>574</v>
      </c>
      <c r="V155" s="153" t="str">
        <f>IF(OR(W155="Preventivo",W155="Detectivo"),"Probabilidad",IF(W155="Correctivo","Impacto",""))</f>
        <v>Probabilidad</v>
      </c>
      <c r="W155" s="154" t="s">
        <v>13</v>
      </c>
      <c r="X155" s="154" t="s">
        <v>8</v>
      </c>
      <c r="Y155" s="155" t="str">
        <f t="shared" si="276"/>
        <v>40%</v>
      </c>
      <c r="Z155" s="154" t="s">
        <v>18</v>
      </c>
      <c r="AA155" s="154" t="s">
        <v>21</v>
      </c>
      <c r="AB155" s="154" t="s">
        <v>112</v>
      </c>
      <c r="AC155" s="156">
        <f>IFERROR(IF(AND(V154="Probabilidad",V155="Probabilidad"),(AE154-(+AE154*Y155)),IF(AND(V154="Impacto",V155="Probabilidad"),(AE153-(+AE153*Y155)),IF(V155="Impacto",AE154,""))),"")</f>
        <v>0.17279999999999998</v>
      </c>
      <c r="AD155" s="157" t="str">
        <f t="shared" si="277"/>
        <v>Muy Baja</v>
      </c>
      <c r="AE155" s="158">
        <f t="shared" si="278"/>
        <v>0.17279999999999998</v>
      </c>
      <c r="AF155" s="157" t="str">
        <f t="shared" si="279"/>
        <v>Moderado</v>
      </c>
      <c r="AG155" s="158">
        <f>IFERROR(IF(AND(V154="Impacto",V155="Impacto"),(AG154-(+AG154*Y155)),IF(AND(V154="Probabilidad",V155="Impacto"),(AG153-(+AG153*Y155)),IF(V155="Probabilidad",AG154,""))),"")</f>
        <v>0.6</v>
      </c>
      <c r="AH155" s="159" t="str">
        <f t="shared" si="280"/>
        <v>Moderado</v>
      </c>
      <c r="AI155" s="161" t="s">
        <v>29</v>
      </c>
      <c r="AJ155" s="197"/>
      <c r="AK155" s="185"/>
      <c r="AL155" s="187"/>
      <c r="AM155" s="195"/>
      <c r="AN155" s="183"/>
      <c r="AO155" s="192"/>
      <c r="AP155" s="197"/>
    </row>
    <row r="156" spans="1:73" ht="15" customHeight="1" x14ac:dyDescent="0.2">
      <c r="A156" s="214"/>
      <c r="B156" s="241"/>
      <c r="C156" s="241"/>
      <c r="D156" s="183"/>
      <c r="E156" s="181"/>
      <c r="F156" s="181"/>
      <c r="G156" s="181"/>
      <c r="H156" s="197"/>
      <c r="I156" s="242"/>
      <c r="J156" s="217"/>
      <c r="K156" s="183"/>
      <c r="L156" s="185"/>
      <c r="M156" s="205"/>
      <c r="N156" s="206"/>
      <c r="O156" s="203"/>
      <c r="P156" s="239">
        <f>IF(NOT(ISERROR(MATCH(O156,_xlfn.ANCHORARRAY(#REF!),0))),#REF!&amp;"Por favor no seleccionar los criterios de impacto",O156)</f>
        <v>0</v>
      </c>
      <c r="Q156" s="205"/>
      <c r="R156" s="206"/>
      <c r="S156" s="207"/>
      <c r="T156" s="152">
        <v>4</v>
      </c>
      <c r="U156" s="160"/>
      <c r="V156" s="153" t="str">
        <f t="shared" ref="V156:V158" si="281">IF(OR(W156="Preventivo",W156="Detectivo"),"Probabilidad",IF(W156="Correctivo","Impacto",""))</f>
        <v/>
      </c>
      <c r="W156" s="154"/>
      <c r="X156" s="154"/>
      <c r="Y156" s="155" t="str">
        <f t="shared" si="276"/>
        <v/>
      </c>
      <c r="Z156" s="154"/>
      <c r="AA156" s="154"/>
      <c r="AB156" s="154"/>
      <c r="AC156" s="156" t="str">
        <f t="shared" ref="AC156:AC158" si="282">IFERROR(IF(AND(V155="Probabilidad",V156="Probabilidad"),(AE155-(+AE155*Y156)),IF(AND(V155="Impacto",V156="Probabilidad"),(AE154-(+AE154*Y156)),IF(V156="Impacto",AE155,""))),"")</f>
        <v/>
      </c>
      <c r="AD156" s="157" t="str">
        <f t="shared" si="277"/>
        <v/>
      </c>
      <c r="AE156" s="158" t="str">
        <f t="shared" si="278"/>
        <v/>
      </c>
      <c r="AF156" s="157" t="str">
        <f t="shared" si="279"/>
        <v/>
      </c>
      <c r="AG156" s="158" t="str">
        <f t="shared" ref="AG156:AG158" si="283">IFERROR(IF(AND(V155="Impacto",V156="Impacto"),(AG155-(+AG155*Y156)),IF(AND(V155="Probabilidad",V156="Impacto"),(AG154-(+AG154*Y156)),IF(V156="Probabilidad",AG155,""))),"")</f>
        <v/>
      </c>
      <c r="AH156" s="159" t="str">
        <f>IFERROR(IF(OR(AND(AD156="Muy Baja",AF156="Leve"),AND(AD156="Muy Baja",AF156="Menor"),AND(AD156="Baja",AF156="Leve")),"Bajo",IF(OR(AND(AD156="Muy baja",AF156="Moderado"),AND(AD156="Baja",AF156="Menor"),AND(AD156="Baja",AF156="Moderado"),AND(AD156="Media",AF156="Leve"),AND(AD156="Media",AF156="Menor"),AND(AD156="Media",AF156="Moderado"),AND(AD156="Alta",AF156="Leve"),AND(AD156="Alta",AF156="Menor")),"Moderado",IF(OR(AND(AD156="Muy Baja",AF156="Mayor"),AND(AD156="Baja",AF156="Mayor"),AND(AD156="Media",AF156="Mayor"),AND(AD156="Alta",AF156="Moderado"),AND(AD156="Alta",AF156="Mayor"),AND(AD156="Muy Alta",AF156="Leve"),AND(AD156="Muy Alta",AF156="Menor"),AND(AD156="Muy Alta",AF156="Moderado"),AND(AD156="Muy Alta",AF156="Mayor")),"Alto",IF(OR(AND(AD156="Muy Baja",AF156="Catastrófico"),AND(AD156="Baja",AF156="Catastrófico"),AND(AD156="Media",AF156="Catastrófico"),AND(AD156="Alta",AF156="Catastrófico"),AND(AD156="Muy Alta",AF156="Catastrófico")),"Extremo","")))),"")</f>
        <v/>
      </c>
      <c r="AI156" s="161"/>
      <c r="AJ156" s="197"/>
      <c r="AK156" s="185"/>
      <c r="AL156" s="187"/>
      <c r="AM156" s="195"/>
      <c r="AN156" s="183"/>
      <c r="AO156" s="192"/>
      <c r="AP156" s="197"/>
    </row>
    <row r="157" spans="1:73" ht="15" customHeight="1" x14ac:dyDescent="0.2">
      <c r="A157" s="214"/>
      <c r="B157" s="241"/>
      <c r="C157" s="241"/>
      <c r="D157" s="183"/>
      <c r="E157" s="181"/>
      <c r="F157" s="181"/>
      <c r="G157" s="181"/>
      <c r="H157" s="197"/>
      <c r="I157" s="242"/>
      <c r="J157" s="217"/>
      <c r="K157" s="183"/>
      <c r="L157" s="185"/>
      <c r="M157" s="205"/>
      <c r="N157" s="206"/>
      <c r="O157" s="203"/>
      <c r="P157" s="239">
        <f>IF(NOT(ISERROR(MATCH(O157,_xlfn.ANCHORARRAY(#REF!),0))),N160&amp;"Por favor no seleccionar los criterios de impacto",O157)</f>
        <v>0</v>
      </c>
      <c r="Q157" s="205"/>
      <c r="R157" s="206"/>
      <c r="S157" s="207"/>
      <c r="T157" s="152">
        <v>5</v>
      </c>
      <c r="U157" s="160"/>
      <c r="V157" s="153" t="str">
        <f t="shared" si="281"/>
        <v/>
      </c>
      <c r="W157" s="154"/>
      <c r="X157" s="154"/>
      <c r="Y157" s="155" t="str">
        <f t="shared" si="276"/>
        <v/>
      </c>
      <c r="Z157" s="154"/>
      <c r="AA157" s="154"/>
      <c r="AB157" s="154"/>
      <c r="AC157" s="156" t="str">
        <f t="shared" si="282"/>
        <v/>
      </c>
      <c r="AD157" s="157" t="str">
        <f t="shared" si="277"/>
        <v/>
      </c>
      <c r="AE157" s="158" t="str">
        <f t="shared" si="278"/>
        <v/>
      </c>
      <c r="AF157" s="157" t="str">
        <f t="shared" si="279"/>
        <v/>
      </c>
      <c r="AG157" s="158" t="str">
        <f t="shared" si="283"/>
        <v/>
      </c>
      <c r="AH157" s="159" t="str">
        <f t="shared" ref="AH157:AH158" si="284">IFERROR(IF(OR(AND(AD157="Muy Baja",AF157="Leve"),AND(AD157="Muy Baja",AF157="Menor"),AND(AD157="Baja",AF157="Leve")),"Bajo",IF(OR(AND(AD157="Muy baja",AF157="Moderado"),AND(AD157="Baja",AF157="Menor"),AND(AD157="Baja",AF157="Moderado"),AND(AD157="Media",AF157="Leve"),AND(AD157="Media",AF157="Menor"),AND(AD157="Media",AF157="Moderado"),AND(AD157="Alta",AF157="Leve"),AND(AD157="Alta",AF157="Menor")),"Moderado",IF(OR(AND(AD157="Muy Baja",AF157="Mayor"),AND(AD157="Baja",AF157="Mayor"),AND(AD157="Media",AF157="Mayor"),AND(AD157="Alta",AF157="Moderado"),AND(AD157="Alta",AF157="Mayor"),AND(AD157="Muy Alta",AF157="Leve"),AND(AD157="Muy Alta",AF157="Menor"),AND(AD157="Muy Alta",AF157="Moderado"),AND(AD157="Muy Alta",AF157="Mayor")),"Alto",IF(OR(AND(AD157="Muy Baja",AF157="Catastrófico"),AND(AD157="Baja",AF157="Catastrófico"),AND(AD157="Media",AF157="Catastrófico"),AND(AD157="Alta",AF157="Catastrófico"),AND(AD157="Muy Alta",AF157="Catastrófico")),"Extremo","")))),"")</f>
        <v/>
      </c>
      <c r="AI157" s="161"/>
      <c r="AJ157" s="197"/>
      <c r="AK157" s="185"/>
      <c r="AL157" s="187"/>
      <c r="AM157" s="195"/>
      <c r="AN157" s="183"/>
      <c r="AO157" s="192"/>
      <c r="AP157" s="197"/>
    </row>
    <row r="158" spans="1:73" ht="15" customHeight="1" x14ac:dyDescent="0.2">
      <c r="A158" s="214"/>
      <c r="B158" s="241"/>
      <c r="C158" s="241"/>
      <c r="D158" s="183"/>
      <c r="E158" s="181"/>
      <c r="F158" s="181"/>
      <c r="G158" s="181"/>
      <c r="H158" s="197"/>
      <c r="I158" s="242"/>
      <c r="J158" s="217"/>
      <c r="K158" s="183"/>
      <c r="L158" s="185"/>
      <c r="M158" s="205"/>
      <c r="N158" s="206"/>
      <c r="O158" s="203"/>
      <c r="P158" s="239">
        <f>IF(NOT(ISERROR(MATCH(O158,_xlfn.ANCHORARRAY(#REF!),0))),N161&amp;"Por favor no seleccionar los criterios de impacto",O158)</f>
        <v>0</v>
      </c>
      <c r="Q158" s="205"/>
      <c r="R158" s="206"/>
      <c r="S158" s="207"/>
      <c r="T158" s="152">
        <v>6</v>
      </c>
      <c r="U158" s="160"/>
      <c r="V158" s="153" t="str">
        <f t="shared" si="281"/>
        <v/>
      </c>
      <c r="W158" s="154"/>
      <c r="X158" s="154"/>
      <c r="Y158" s="155" t="str">
        <f t="shared" si="276"/>
        <v/>
      </c>
      <c r="Z158" s="154"/>
      <c r="AA158" s="154"/>
      <c r="AB158" s="154"/>
      <c r="AC158" s="156" t="str">
        <f t="shared" si="282"/>
        <v/>
      </c>
      <c r="AD158" s="157" t="str">
        <f t="shared" si="277"/>
        <v/>
      </c>
      <c r="AE158" s="158" t="str">
        <f t="shared" si="278"/>
        <v/>
      </c>
      <c r="AF158" s="157" t="str">
        <f t="shared" si="279"/>
        <v/>
      </c>
      <c r="AG158" s="158" t="str">
        <f t="shared" si="283"/>
        <v/>
      </c>
      <c r="AH158" s="159" t="str">
        <f t="shared" si="284"/>
        <v/>
      </c>
      <c r="AI158" s="161"/>
      <c r="AJ158" s="197"/>
      <c r="AK158" s="185"/>
      <c r="AL158" s="187"/>
      <c r="AM158" s="195"/>
      <c r="AN158" s="183"/>
      <c r="AO158" s="192"/>
      <c r="AP158" s="197"/>
    </row>
    <row r="159" spans="1:73" ht="128.25" x14ac:dyDescent="0.2">
      <c r="A159" s="214">
        <v>28</v>
      </c>
      <c r="B159" s="241" t="s">
        <v>246</v>
      </c>
      <c r="C159" s="241" t="s">
        <v>544</v>
      </c>
      <c r="D159" s="183" t="s">
        <v>268</v>
      </c>
      <c r="E159" s="181" t="s">
        <v>555</v>
      </c>
      <c r="F159" s="181" t="s">
        <v>556</v>
      </c>
      <c r="G159" s="181" t="s">
        <v>557</v>
      </c>
      <c r="H159" s="181" t="s">
        <v>558</v>
      </c>
      <c r="I159" s="242" t="s">
        <v>559</v>
      </c>
      <c r="J159" s="217" t="s">
        <v>237</v>
      </c>
      <c r="K159" s="183" t="s">
        <v>242</v>
      </c>
      <c r="L159" s="185">
        <v>2000</v>
      </c>
      <c r="M159" s="205" t="str">
        <f t="shared" ref="M159" si="285">IF(L159&lt;=0,"",IF(L159&lt;=2,"Muy Baja",IF(L159&lt;=24,"Baja",IF(L159&lt;=500,"Media",IF(L159&lt;=5000,"Alta","Muy Alta")))))</f>
        <v>Alta</v>
      </c>
      <c r="N159" s="206">
        <f t="shared" ref="N159" si="286">IF(M159="","",IF(M159="Muy Baja",0.2,IF(M159="Baja",0.4,IF(M159="Media",0.6,IF(M159="Alta",0.8,IF(M159="Muy Alta",1,))))))</f>
        <v>0.8</v>
      </c>
      <c r="O159" s="203" t="s">
        <v>131</v>
      </c>
      <c r="P159" s="239" t="str">
        <f>IF(NOT(ISERROR(MATCH(O159,'Tabla Impacto'!$B$221:$B$223,0))),'Tabla Impacto'!$F$223&amp;"Por favor no seleccionar los criterios de impacto(Afectación Económica o presupuestal y Pérdida Reputacional)",O159)</f>
        <v xml:space="preserve">     Mayor a 500 SMLMV </v>
      </c>
      <c r="Q159" s="205" t="str">
        <f>IF(OR(P159='Tabla Impacto'!$C$11,P159='Tabla Impacto'!$D$11),"Leve",IF(OR(P159='Tabla Impacto'!$C$12,P159='Tabla Impacto'!$D$12),"Menor",IF(OR(P159='Tabla Impacto'!$C$13,P159='Tabla Impacto'!$D$13),"Moderado",IF(OR(P159='Tabla Impacto'!$C$14,P159='Tabla Impacto'!$D$14),"Mayor",IF(OR(P159='Tabla Impacto'!$C$15,P159='Tabla Impacto'!$D$15),"Catastrófico","")))))</f>
        <v>Catastrófico</v>
      </c>
      <c r="R159" s="206">
        <f t="shared" ref="R159" si="287">IF(Q159="","",IF(Q159="Leve",0.2,IF(Q159="Menor",0.4,IF(Q159="Moderado",0.6,IF(Q159="Mayor",0.8,IF(Q159="Catastrófico",1,))))))</f>
        <v>1</v>
      </c>
      <c r="S159" s="207" t="str">
        <f t="shared" ref="S159" si="288">IF(OR(AND(M159="Muy Baja",Q159="Leve"),AND(M159="Muy Baja",Q159="Menor"),AND(M159="Baja",Q159="Leve")),"Bajo",IF(OR(AND(M159="Muy baja",Q159="Moderado"),AND(M159="Baja",Q159="Menor"),AND(M159="Baja",Q159="Moderado"),AND(M159="Media",Q159="Leve"),AND(M159="Media",Q159="Menor"),AND(M159="Media",Q159="Moderado"),AND(M159="Alta",Q159="Leve"),AND(M159="Alta",Q159="Menor")),"Moderado",IF(OR(AND(M159="Muy Baja",Q159="Mayor"),AND(M159="Baja",Q159="Mayor"),AND(M159="Media",Q159="Mayor"),AND(M159="Alta",Q159="Moderado"),AND(M159="Alta",Q159="Mayor"),AND(M159="Muy Alta",Q159="Leve"),AND(M159="Muy Alta",Q159="Menor"),AND(M159="Muy Alta",Q159="Moderado"),AND(M159="Muy Alta",Q159="Mayor")),"Alto",IF(OR(AND(M159="Muy Baja",Q159="Catastrófico"),AND(M159="Baja",Q159="Catastrófico"),AND(M159="Media",Q159="Catastrófico"),AND(M159="Alta",Q159="Catastrófico"),AND(M159="Muy Alta",Q159="Catastrófico")),"Extremo",""))))</f>
        <v>Extremo</v>
      </c>
      <c r="T159" s="152">
        <v>1</v>
      </c>
      <c r="U159" s="166" t="s">
        <v>575</v>
      </c>
      <c r="V159" s="153" t="str">
        <f>IF(OR(W159="Preventivo",W159="Detectivo"),"Probabilidad",IF(W159="Correctivo","Impacto",""))</f>
        <v>Probabilidad</v>
      </c>
      <c r="W159" s="154" t="s">
        <v>13</v>
      </c>
      <c r="X159" s="154" t="s">
        <v>8</v>
      </c>
      <c r="Y159" s="155" t="str">
        <f>IF(AND(W159="Preventivo",X159="Automático"),"50%",IF(AND(W159="Preventivo",X159="Manual"),"40%",IF(AND(W159="Detectivo",X159="Automático"),"40%",IF(AND(W159="Detectivo",X159="Manual"),"30%",IF(AND(W159="Correctivo",X159="Automático"),"35%",IF(AND(W159="Correctivo",X159="Manual"),"25%",""))))))</f>
        <v>40%</v>
      </c>
      <c r="Z159" s="154" t="s">
        <v>18</v>
      </c>
      <c r="AA159" s="154" t="s">
        <v>21</v>
      </c>
      <c r="AB159" s="154" t="s">
        <v>112</v>
      </c>
      <c r="AC159" s="156">
        <f>IFERROR(IF(V159="Probabilidad",(N159-(+N159*Y159)),IF(V159="Impacto",N159,"")),"")</f>
        <v>0.48</v>
      </c>
      <c r="AD159" s="157" t="str">
        <f>IFERROR(IF(AC159="","",IF(AC159&lt;=0.2,"Muy Baja",IF(AC159&lt;=0.4,"Baja",IF(AC159&lt;=0.6,"Media",IF(AC159&lt;=0.8,"Alta","Muy Alta"))))),"")</f>
        <v>Media</v>
      </c>
      <c r="AE159" s="158">
        <f>+AC159</f>
        <v>0.48</v>
      </c>
      <c r="AF159" s="157" t="str">
        <f>IFERROR(IF(AG159="","",IF(AG159&lt;=0.2,"Leve",IF(AG159&lt;=0.4,"Menor",IF(AG159&lt;=0.6,"Moderado",IF(AG159&lt;=0.8,"Mayor","Catastrófico"))))),"")</f>
        <v>Catastrófico</v>
      </c>
      <c r="AG159" s="158">
        <f>IFERROR(IF(V159="Impacto",(R159-(+R159*Y159)),IF(V159="Probabilidad",R159,"")),"")</f>
        <v>1</v>
      </c>
      <c r="AH159" s="159" t="str">
        <f>IFERROR(IF(OR(AND(AD159="Muy Baja",AF159="Leve"),AND(AD159="Muy Baja",AF159="Menor"),AND(AD159="Baja",AF159="Leve")),"Bajo",IF(OR(AND(AD159="Muy baja",AF159="Moderado"),AND(AD159="Baja",AF159="Menor"),AND(AD159="Baja",AF159="Moderado"),AND(AD159="Media",AF159="Leve"),AND(AD159="Media",AF159="Menor"),AND(AD159="Media",AF159="Moderado"),AND(AD159="Alta",AF159="Leve"),AND(AD159="Alta",AF159="Menor")),"Moderado",IF(OR(AND(AD159="Muy Baja",AF159="Mayor"),AND(AD159="Baja",AF159="Mayor"),AND(AD159="Media",AF159="Mayor"),AND(AD159="Alta",AF159="Moderado"),AND(AD159="Alta",AF159="Mayor"),AND(AD159="Muy Alta",AF159="Leve"),AND(AD159="Muy Alta",AF159="Menor"),AND(AD159="Muy Alta",AF159="Moderado"),AND(AD159="Muy Alta",AF159="Mayor")),"Alto",IF(OR(AND(AD159="Muy Baja",AF159="Catastrófico"),AND(AD159="Baja",AF159="Catastrófico"),AND(AD159="Media",AF159="Catastrófico"),AND(AD159="Alta",AF159="Catastrófico"),AND(AD159="Muy Alta",AF159="Catastrófico")),"Extremo","")))),"")</f>
        <v>Extremo</v>
      </c>
      <c r="AI159" s="161" t="s">
        <v>117</v>
      </c>
      <c r="AJ159" s="257" t="s">
        <v>586</v>
      </c>
      <c r="AK159" s="185" t="s">
        <v>192</v>
      </c>
      <c r="AL159" s="187">
        <v>45293</v>
      </c>
      <c r="AM159" s="195">
        <v>45657</v>
      </c>
      <c r="AN159" s="183" t="s">
        <v>368</v>
      </c>
      <c r="AO159" s="192" t="s">
        <v>269</v>
      </c>
      <c r="AP159" s="197" t="s">
        <v>583</v>
      </c>
      <c r="AQ159" s="10"/>
      <c r="AR159" s="10"/>
      <c r="AS159" s="10"/>
      <c r="AT159" s="10"/>
      <c r="AU159" s="10"/>
      <c r="AV159" s="10"/>
      <c r="AW159" s="10"/>
      <c r="AX159" s="10"/>
      <c r="AY159" s="10"/>
      <c r="AZ159" s="10"/>
      <c r="BA159" s="10"/>
      <c r="BB159" s="10"/>
      <c r="BC159" s="10"/>
      <c r="BD159" s="10"/>
      <c r="BE159" s="10"/>
      <c r="BF159" s="10"/>
      <c r="BG159" s="10"/>
      <c r="BH159" s="10"/>
      <c r="BI159" s="10"/>
      <c r="BJ159" s="10"/>
      <c r="BK159" s="10"/>
      <c r="BL159" s="10"/>
      <c r="BM159" s="10"/>
      <c r="BN159" s="10"/>
      <c r="BO159" s="10"/>
      <c r="BP159" s="10"/>
      <c r="BQ159" s="10"/>
      <c r="BR159" s="10"/>
      <c r="BS159" s="10"/>
      <c r="BT159" s="10"/>
      <c r="BU159" s="10"/>
    </row>
    <row r="160" spans="1:73" ht="99.75" x14ac:dyDescent="0.2">
      <c r="A160" s="214"/>
      <c r="B160" s="241"/>
      <c r="C160" s="241"/>
      <c r="D160" s="183"/>
      <c r="E160" s="181"/>
      <c r="F160" s="181"/>
      <c r="G160" s="181"/>
      <c r="H160" s="181"/>
      <c r="I160" s="242"/>
      <c r="J160" s="217"/>
      <c r="K160" s="183"/>
      <c r="L160" s="185"/>
      <c r="M160" s="205"/>
      <c r="N160" s="206"/>
      <c r="O160" s="203"/>
      <c r="P160" s="239">
        <f>IF(NOT(ISERROR(MATCH(O160,_xlfn.ANCHORARRAY(#REF!),0))),#REF!&amp;"Por favor no seleccionar los criterios de impacto",O160)</f>
        <v>0</v>
      </c>
      <c r="Q160" s="205"/>
      <c r="R160" s="206"/>
      <c r="S160" s="207"/>
      <c r="T160" s="152">
        <v>2</v>
      </c>
      <c r="U160" s="166" t="s">
        <v>576</v>
      </c>
      <c r="V160" s="153" t="str">
        <f>IF(OR(W160="Preventivo",W160="Detectivo"),"Probabilidad",IF(W160="Correctivo","Impacto",""))</f>
        <v>Probabilidad</v>
      </c>
      <c r="W160" s="154" t="s">
        <v>13</v>
      </c>
      <c r="X160" s="154" t="s">
        <v>8</v>
      </c>
      <c r="Y160" s="155" t="str">
        <f t="shared" ref="Y160:Y164" si="289">IF(AND(W160="Preventivo",X160="Automático"),"50%",IF(AND(W160="Preventivo",X160="Manual"),"40%",IF(AND(W160="Detectivo",X160="Automático"),"40%",IF(AND(W160="Detectivo",X160="Manual"),"30%",IF(AND(W160="Correctivo",X160="Automático"),"35%",IF(AND(W160="Correctivo",X160="Manual"),"25%",""))))))</f>
        <v>40%</v>
      </c>
      <c r="Z160" s="154" t="s">
        <v>18</v>
      </c>
      <c r="AA160" s="154" t="s">
        <v>21</v>
      </c>
      <c r="AB160" s="154" t="s">
        <v>112</v>
      </c>
      <c r="AC160" s="156">
        <f>IFERROR(IF(AND(V159="Probabilidad",V160="Probabilidad"),(AE159-(+AE159*Y160)),IF(V160="Probabilidad",(N159-(+N159*Y160)),IF(V160="Impacto",AE159,""))),"")</f>
        <v>0.28799999999999998</v>
      </c>
      <c r="AD160" s="157" t="str">
        <f t="shared" ref="AD160:AD164" si="290">IFERROR(IF(AC160="","",IF(AC160&lt;=0.2,"Muy Baja",IF(AC160&lt;=0.4,"Baja",IF(AC160&lt;=0.6,"Media",IF(AC160&lt;=0.8,"Alta","Muy Alta"))))),"")</f>
        <v>Baja</v>
      </c>
      <c r="AE160" s="158">
        <f t="shared" ref="AE160:AE164" si="291">+AC160</f>
        <v>0.28799999999999998</v>
      </c>
      <c r="AF160" s="157" t="str">
        <f t="shared" ref="AF160:AF164" si="292">IFERROR(IF(AG160="","",IF(AG160&lt;=0.2,"Leve",IF(AG160&lt;=0.4,"Menor",IF(AG160&lt;=0.6,"Moderado",IF(AG160&lt;=0.8,"Mayor","Catastrófico"))))),"")</f>
        <v>Catastrófico</v>
      </c>
      <c r="AG160" s="158">
        <f>IFERROR(IF(AND(V159="Impacto",V160="Impacto"),(AG159-(+AG159*Y160)),IF(V160="Impacto",(R159-(+R159*Y160)),IF(V160="Probabilidad",AG159,""))),"")</f>
        <v>1</v>
      </c>
      <c r="AH160" s="159" t="str">
        <f t="shared" ref="AH160:AH161" si="293">IFERROR(IF(OR(AND(AD160="Muy Baja",AF160="Leve"),AND(AD160="Muy Baja",AF160="Menor"),AND(AD160="Baja",AF160="Leve")),"Bajo",IF(OR(AND(AD160="Muy baja",AF160="Moderado"),AND(AD160="Baja",AF160="Menor"),AND(AD160="Baja",AF160="Moderado"),AND(AD160="Media",AF160="Leve"),AND(AD160="Media",AF160="Menor"),AND(AD160="Media",AF160="Moderado"),AND(AD160="Alta",AF160="Leve"),AND(AD160="Alta",AF160="Menor")),"Moderado",IF(OR(AND(AD160="Muy Baja",AF160="Mayor"),AND(AD160="Baja",AF160="Mayor"),AND(AD160="Media",AF160="Mayor"),AND(AD160="Alta",AF160="Moderado"),AND(AD160="Alta",AF160="Mayor"),AND(AD160="Muy Alta",AF160="Leve"),AND(AD160="Muy Alta",AF160="Menor"),AND(AD160="Muy Alta",AF160="Moderado"),AND(AD160="Muy Alta",AF160="Mayor")),"Alto",IF(OR(AND(AD160="Muy Baja",AF160="Catastrófico"),AND(AD160="Baja",AF160="Catastrófico"),AND(AD160="Media",AF160="Catastrófico"),AND(AD160="Alta",AF160="Catastrófico"),AND(AD160="Muy Alta",AF160="Catastrófico")),"Extremo","")))),"")</f>
        <v>Extremo</v>
      </c>
      <c r="AI160" s="161" t="s">
        <v>117</v>
      </c>
      <c r="AJ160" s="264"/>
      <c r="AK160" s="185"/>
      <c r="AL160" s="187"/>
      <c r="AM160" s="195"/>
      <c r="AN160" s="183"/>
      <c r="AO160" s="192"/>
      <c r="AP160" s="197"/>
    </row>
    <row r="161" spans="1:73" ht="15" customHeight="1" x14ac:dyDescent="0.2">
      <c r="A161" s="214"/>
      <c r="B161" s="241"/>
      <c r="C161" s="241"/>
      <c r="D161" s="183"/>
      <c r="E161" s="181"/>
      <c r="F161" s="181"/>
      <c r="G161" s="181"/>
      <c r="H161" s="181"/>
      <c r="I161" s="242"/>
      <c r="J161" s="217"/>
      <c r="K161" s="183"/>
      <c r="L161" s="185"/>
      <c r="M161" s="205"/>
      <c r="N161" s="206"/>
      <c r="O161" s="203"/>
      <c r="P161" s="239">
        <f>IF(NOT(ISERROR(MATCH(O161,_xlfn.ANCHORARRAY(#REF!),0))),#REF!&amp;"Por favor no seleccionar los criterios de impacto",O161)</f>
        <v>0</v>
      </c>
      <c r="Q161" s="205"/>
      <c r="R161" s="206"/>
      <c r="S161" s="207"/>
      <c r="T161" s="152">
        <v>3</v>
      </c>
      <c r="U161" s="167"/>
      <c r="V161" s="153" t="str">
        <f>IF(OR(W161="Preventivo",W161="Detectivo"),"Probabilidad",IF(W161="Correctivo","Impacto",""))</f>
        <v/>
      </c>
      <c r="W161" s="154"/>
      <c r="X161" s="154"/>
      <c r="Y161" s="155" t="str">
        <f t="shared" si="289"/>
        <v/>
      </c>
      <c r="Z161" s="154"/>
      <c r="AA161" s="154"/>
      <c r="AB161" s="154"/>
      <c r="AC161" s="156" t="str">
        <f>IFERROR(IF(AND(V160="Probabilidad",V161="Probabilidad"),(AE160-(+AE160*Y161)),IF(AND(V160="Impacto",V161="Probabilidad"),(AE159-(+AE159*Y161)),IF(V161="Impacto",AE160,""))),"")</f>
        <v/>
      </c>
      <c r="AD161" s="157" t="str">
        <f t="shared" si="290"/>
        <v/>
      </c>
      <c r="AE161" s="158" t="str">
        <f t="shared" si="291"/>
        <v/>
      </c>
      <c r="AF161" s="157" t="str">
        <f t="shared" si="292"/>
        <v/>
      </c>
      <c r="AG161" s="158" t="str">
        <f>IFERROR(IF(AND(V160="Impacto",V161="Impacto"),(AG160-(+AG160*Y161)),IF(AND(V160="Probabilidad",V161="Impacto"),(AG159-(+AG159*Y161)),IF(V161="Probabilidad",AG160,""))),"")</f>
        <v/>
      </c>
      <c r="AH161" s="159" t="str">
        <f t="shared" si="293"/>
        <v/>
      </c>
      <c r="AI161" s="161"/>
      <c r="AJ161" s="264"/>
      <c r="AK161" s="185"/>
      <c r="AL161" s="187"/>
      <c r="AM161" s="195"/>
      <c r="AN161" s="183"/>
      <c r="AO161" s="192"/>
      <c r="AP161" s="197"/>
    </row>
    <row r="162" spans="1:73" ht="15" customHeight="1" x14ac:dyDescent="0.2">
      <c r="A162" s="214"/>
      <c r="B162" s="241"/>
      <c r="C162" s="241"/>
      <c r="D162" s="183"/>
      <c r="E162" s="181"/>
      <c r="F162" s="181"/>
      <c r="G162" s="181"/>
      <c r="H162" s="181"/>
      <c r="I162" s="242"/>
      <c r="J162" s="217"/>
      <c r="K162" s="183"/>
      <c r="L162" s="185"/>
      <c r="M162" s="205"/>
      <c r="N162" s="206"/>
      <c r="O162" s="203"/>
      <c r="P162" s="239">
        <f>IF(NOT(ISERROR(MATCH(O162,_xlfn.ANCHORARRAY(#REF!),0))),#REF!&amp;"Por favor no seleccionar los criterios de impacto",O162)</f>
        <v>0</v>
      </c>
      <c r="Q162" s="205"/>
      <c r="R162" s="206"/>
      <c r="S162" s="207"/>
      <c r="T162" s="152">
        <v>4</v>
      </c>
      <c r="U162" s="160"/>
      <c r="V162" s="153" t="str">
        <f t="shared" ref="V162:V164" si="294">IF(OR(W162="Preventivo",W162="Detectivo"),"Probabilidad",IF(W162="Correctivo","Impacto",""))</f>
        <v/>
      </c>
      <c r="W162" s="154"/>
      <c r="X162" s="154"/>
      <c r="Y162" s="155" t="str">
        <f t="shared" si="289"/>
        <v/>
      </c>
      <c r="Z162" s="154"/>
      <c r="AA162" s="154"/>
      <c r="AB162" s="154"/>
      <c r="AC162" s="156" t="str">
        <f t="shared" ref="AC162:AC164" si="295">IFERROR(IF(AND(V161="Probabilidad",V162="Probabilidad"),(AE161-(+AE161*Y162)),IF(AND(V161="Impacto",V162="Probabilidad"),(AE160-(+AE160*Y162)),IF(V162="Impacto",AE161,""))),"")</f>
        <v/>
      </c>
      <c r="AD162" s="157" t="str">
        <f t="shared" si="290"/>
        <v/>
      </c>
      <c r="AE162" s="158" t="str">
        <f t="shared" si="291"/>
        <v/>
      </c>
      <c r="AF162" s="157" t="str">
        <f t="shared" si="292"/>
        <v/>
      </c>
      <c r="AG162" s="158" t="str">
        <f t="shared" ref="AG162:AG164" si="296">IFERROR(IF(AND(V161="Impacto",V162="Impacto"),(AG161-(+AG161*Y162)),IF(AND(V161="Probabilidad",V162="Impacto"),(AG160-(+AG160*Y162)),IF(V162="Probabilidad",AG161,""))),"")</f>
        <v/>
      </c>
      <c r="AH162" s="159" t="str">
        <f>IFERROR(IF(OR(AND(AD162="Muy Baja",AF162="Leve"),AND(AD162="Muy Baja",AF162="Menor"),AND(AD162="Baja",AF162="Leve")),"Bajo",IF(OR(AND(AD162="Muy baja",AF162="Moderado"),AND(AD162="Baja",AF162="Menor"),AND(AD162="Baja",AF162="Moderado"),AND(AD162="Media",AF162="Leve"),AND(AD162="Media",AF162="Menor"),AND(AD162="Media",AF162="Moderado"),AND(AD162="Alta",AF162="Leve"),AND(AD162="Alta",AF162="Menor")),"Moderado",IF(OR(AND(AD162="Muy Baja",AF162="Mayor"),AND(AD162="Baja",AF162="Mayor"),AND(AD162="Media",AF162="Mayor"),AND(AD162="Alta",AF162="Moderado"),AND(AD162="Alta",AF162="Mayor"),AND(AD162="Muy Alta",AF162="Leve"),AND(AD162="Muy Alta",AF162="Menor"),AND(AD162="Muy Alta",AF162="Moderado"),AND(AD162="Muy Alta",AF162="Mayor")),"Alto",IF(OR(AND(AD162="Muy Baja",AF162="Catastrófico"),AND(AD162="Baja",AF162="Catastrófico"),AND(AD162="Media",AF162="Catastrófico"),AND(AD162="Alta",AF162="Catastrófico"),AND(AD162="Muy Alta",AF162="Catastrófico")),"Extremo","")))),"")</f>
        <v/>
      </c>
      <c r="AI162" s="161"/>
      <c r="AJ162" s="264"/>
      <c r="AK162" s="185"/>
      <c r="AL162" s="187"/>
      <c r="AM162" s="195"/>
      <c r="AN162" s="183"/>
      <c r="AO162" s="192"/>
      <c r="AP162" s="197"/>
    </row>
    <row r="163" spans="1:73" ht="15" customHeight="1" x14ac:dyDescent="0.2">
      <c r="A163" s="214"/>
      <c r="B163" s="241"/>
      <c r="C163" s="241"/>
      <c r="D163" s="183"/>
      <c r="E163" s="181"/>
      <c r="F163" s="181"/>
      <c r="G163" s="181"/>
      <c r="H163" s="181"/>
      <c r="I163" s="242"/>
      <c r="J163" s="217"/>
      <c r="K163" s="183"/>
      <c r="L163" s="185"/>
      <c r="M163" s="205"/>
      <c r="N163" s="206"/>
      <c r="O163" s="203"/>
      <c r="P163" s="239">
        <f>IF(NOT(ISERROR(MATCH(O163,_xlfn.ANCHORARRAY(#REF!),0))),N166&amp;"Por favor no seleccionar los criterios de impacto",O163)</f>
        <v>0</v>
      </c>
      <c r="Q163" s="205"/>
      <c r="R163" s="206"/>
      <c r="S163" s="207"/>
      <c r="T163" s="152">
        <v>5</v>
      </c>
      <c r="U163" s="160"/>
      <c r="V163" s="153" t="str">
        <f t="shared" si="294"/>
        <v/>
      </c>
      <c r="W163" s="154"/>
      <c r="X163" s="154"/>
      <c r="Y163" s="155" t="str">
        <f t="shared" si="289"/>
        <v/>
      </c>
      <c r="Z163" s="154"/>
      <c r="AA163" s="154"/>
      <c r="AB163" s="154"/>
      <c r="AC163" s="156" t="str">
        <f t="shared" si="295"/>
        <v/>
      </c>
      <c r="AD163" s="157" t="str">
        <f t="shared" si="290"/>
        <v/>
      </c>
      <c r="AE163" s="158" t="str">
        <f t="shared" si="291"/>
        <v/>
      </c>
      <c r="AF163" s="157" t="str">
        <f t="shared" si="292"/>
        <v/>
      </c>
      <c r="AG163" s="158" t="str">
        <f t="shared" si="296"/>
        <v/>
      </c>
      <c r="AH163" s="159" t="str">
        <f t="shared" ref="AH163:AH164" si="297">IFERROR(IF(OR(AND(AD163="Muy Baja",AF163="Leve"),AND(AD163="Muy Baja",AF163="Menor"),AND(AD163="Baja",AF163="Leve")),"Bajo",IF(OR(AND(AD163="Muy baja",AF163="Moderado"),AND(AD163="Baja",AF163="Menor"),AND(AD163="Baja",AF163="Moderado"),AND(AD163="Media",AF163="Leve"),AND(AD163="Media",AF163="Menor"),AND(AD163="Media",AF163="Moderado"),AND(AD163="Alta",AF163="Leve"),AND(AD163="Alta",AF163="Menor")),"Moderado",IF(OR(AND(AD163="Muy Baja",AF163="Mayor"),AND(AD163="Baja",AF163="Mayor"),AND(AD163="Media",AF163="Mayor"),AND(AD163="Alta",AF163="Moderado"),AND(AD163="Alta",AF163="Mayor"),AND(AD163="Muy Alta",AF163="Leve"),AND(AD163="Muy Alta",AF163="Menor"),AND(AD163="Muy Alta",AF163="Moderado"),AND(AD163="Muy Alta",AF163="Mayor")),"Alto",IF(OR(AND(AD163="Muy Baja",AF163="Catastrófico"),AND(AD163="Baja",AF163="Catastrófico"),AND(AD163="Media",AF163="Catastrófico"),AND(AD163="Alta",AF163="Catastrófico"),AND(AD163="Muy Alta",AF163="Catastrófico")),"Extremo","")))),"")</f>
        <v/>
      </c>
      <c r="AI163" s="161"/>
      <c r="AJ163" s="264"/>
      <c r="AK163" s="185"/>
      <c r="AL163" s="187"/>
      <c r="AM163" s="195"/>
      <c r="AN163" s="183"/>
      <c r="AO163" s="192"/>
      <c r="AP163" s="197"/>
    </row>
    <row r="164" spans="1:73" ht="15" customHeight="1" x14ac:dyDescent="0.2">
      <c r="A164" s="214"/>
      <c r="B164" s="241"/>
      <c r="C164" s="241"/>
      <c r="D164" s="183"/>
      <c r="E164" s="181"/>
      <c r="F164" s="181"/>
      <c r="G164" s="181"/>
      <c r="H164" s="181"/>
      <c r="I164" s="242"/>
      <c r="J164" s="217"/>
      <c r="K164" s="183"/>
      <c r="L164" s="185"/>
      <c r="M164" s="205"/>
      <c r="N164" s="206"/>
      <c r="O164" s="203"/>
      <c r="P164" s="239">
        <f>IF(NOT(ISERROR(MATCH(O164,_xlfn.ANCHORARRAY(#REF!),0))),N167&amp;"Por favor no seleccionar los criterios de impacto",O164)</f>
        <v>0</v>
      </c>
      <c r="Q164" s="205"/>
      <c r="R164" s="206"/>
      <c r="S164" s="207"/>
      <c r="T164" s="152">
        <v>6</v>
      </c>
      <c r="U164" s="160"/>
      <c r="V164" s="153" t="str">
        <f t="shared" si="294"/>
        <v/>
      </c>
      <c r="W164" s="154"/>
      <c r="X164" s="154"/>
      <c r="Y164" s="155" t="str">
        <f t="shared" si="289"/>
        <v/>
      </c>
      <c r="Z164" s="154"/>
      <c r="AA164" s="154"/>
      <c r="AB164" s="154"/>
      <c r="AC164" s="156" t="str">
        <f t="shared" si="295"/>
        <v/>
      </c>
      <c r="AD164" s="157" t="str">
        <f t="shared" si="290"/>
        <v/>
      </c>
      <c r="AE164" s="158" t="str">
        <f t="shared" si="291"/>
        <v/>
      </c>
      <c r="AF164" s="157" t="str">
        <f t="shared" si="292"/>
        <v/>
      </c>
      <c r="AG164" s="158" t="str">
        <f t="shared" si="296"/>
        <v/>
      </c>
      <c r="AH164" s="159" t="str">
        <f t="shared" si="297"/>
        <v/>
      </c>
      <c r="AI164" s="161"/>
      <c r="AJ164" s="196"/>
      <c r="AK164" s="185"/>
      <c r="AL164" s="187"/>
      <c r="AM164" s="195"/>
      <c r="AN164" s="183"/>
      <c r="AO164" s="192"/>
      <c r="AP164" s="197"/>
    </row>
    <row r="165" spans="1:73" ht="99.75" x14ac:dyDescent="0.2">
      <c r="A165" s="214">
        <v>29</v>
      </c>
      <c r="B165" s="241" t="s">
        <v>246</v>
      </c>
      <c r="C165" s="241" t="s">
        <v>544</v>
      </c>
      <c r="D165" s="183" t="s">
        <v>268</v>
      </c>
      <c r="E165" s="181" t="s">
        <v>560</v>
      </c>
      <c r="F165" s="181" t="s">
        <v>561</v>
      </c>
      <c r="G165" s="181" t="s">
        <v>562</v>
      </c>
      <c r="H165" s="181" t="s">
        <v>563</v>
      </c>
      <c r="I165" s="242" t="s">
        <v>564</v>
      </c>
      <c r="J165" s="217" t="s">
        <v>238</v>
      </c>
      <c r="K165" s="183" t="s">
        <v>242</v>
      </c>
      <c r="L165" s="185">
        <v>2000</v>
      </c>
      <c r="M165" s="205" t="str">
        <f t="shared" ref="M165" si="298">IF(L165&lt;=0,"",IF(L165&lt;=2,"Muy Baja",IF(L165&lt;=24,"Baja",IF(L165&lt;=500,"Media",IF(L165&lt;=5000,"Alta","Muy Alta")))))</f>
        <v>Alta</v>
      </c>
      <c r="N165" s="206">
        <f t="shared" ref="N165" si="299">IF(M165="","",IF(M165="Muy Baja",0.2,IF(M165="Baja",0.4,IF(M165="Media",0.6,IF(M165="Alta",0.8,IF(M165="Muy Alta",1,))))))</f>
        <v>0.8</v>
      </c>
      <c r="O165" s="203" t="s">
        <v>131</v>
      </c>
      <c r="P165" s="239" t="str">
        <f>IF(NOT(ISERROR(MATCH(O165,'Tabla Impacto'!$B$221:$B$223,0))),'Tabla Impacto'!$F$223&amp;"Por favor no seleccionar los criterios de impacto(Afectación Económica o presupuestal y Pérdida Reputacional)",O165)</f>
        <v xml:space="preserve">     Mayor a 500 SMLMV </v>
      </c>
      <c r="Q165" s="205" t="str">
        <f>IF(OR(P165='Tabla Impacto'!$C$11,P165='Tabla Impacto'!$D$11),"Leve",IF(OR(P165='Tabla Impacto'!$C$12,P165='Tabla Impacto'!$D$12),"Menor",IF(OR(P165='Tabla Impacto'!$C$13,P165='Tabla Impacto'!$D$13),"Moderado",IF(OR(P165='Tabla Impacto'!$C$14,P165='Tabla Impacto'!$D$14),"Mayor",IF(OR(P165='Tabla Impacto'!$C$15,P165='Tabla Impacto'!$D$15),"Catastrófico","")))))</f>
        <v>Catastrófico</v>
      </c>
      <c r="R165" s="206">
        <f t="shared" ref="R165" si="300">IF(Q165="","",IF(Q165="Leve",0.2,IF(Q165="Menor",0.4,IF(Q165="Moderado",0.6,IF(Q165="Mayor",0.8,IF(Q165="Catastrófico",1,))))))</f>
        <v>1</v>
      </c>
      <c r="S165" s="207" t="str">
        <f t="shared" ref="S165" si="301">IF(OR(AND(M165="Muy Baja",Q165="Leve"),AND(M165="Muy Baja",Q165="Menor"),AND(M165="Baja",Q165="Leve")),"Bajo",IF(OR(AND(M165="Muy baja",Q165="Moderado"),AND(M165="Baja",Q165="Menor"),AND(M165="Baja",Q165="Moderado"),AND(M165="Media",Q165="Leve"),AND(M165="Media",Q165="Menor"),AND(M165="Media",Q165="Moderado"),AND(M165="Alta",Q165="Leve"),AND(M165="Alta",Q165="Menor")),"Moderado",IF(OR(AND(M165="Muy Baja",Q165="Mayor"),AND(M165="Baja",Q165="Mayor"),AND(M165="Media",Q165="Mayor"),AND(M165="Alta",Q165="Moderado"),AND(M165="Alta",Q165="Mayor"),AND(M165="Muy Alta",Q165="Leve"),AND(M165="Muy Alta",Q165="Menor"),AND(M165="Muy Alta",Q165="Moderado"),AND(M165="Muy Alta",Q165="Mayor")),"Alto",IF(OR(AND(M165="Muy Baja",Q165="Catastrófico"),AND(M165="Baja",Q165="Catastrófico"),AND(M165="Media",Q165="Catastrófico"),AND(M165="Alta",Q165="Catastrófico"),AND(M165="Muy Alta",Q165="Catastrófico")),"Extremo",""))))</f>
        <v>Extremo</v>
      </c>
      <c r="T165" s="152">
        <v>1</v>
      </c>
      <c r="U165" s="166" t="s">
        <v>577</v>
      </c>
      <c r="V165" s="153" t="str">
        <f>IF(OR(W165="Preventivo",W165="Detectivo"),"Probabilidad",IF(W165="Correctivo","Impacto",""))</f>
        <v>Probabilidad</v>
      </c>
      <c r="W165" s="154" t="s">
        <v>13</v>
      </c>
      <c r="X165" s="154" t="s">
        <v>8</v>
      </c>
      <c r="Y165" s="155" t="str">
        <f>IF(AND(W165="Preventivo",X165="Automático"),"50%",IF(AND(W165="Preventivo",X165="Manual"),"40%",IF(AND(W165="Detectivo",X165="Automático"),"40%",IF(AND(W165="Detectivo",X165="Manual"),"30%",IF(AND(W165="Correctivo",X165="Automático"),"35%",IF(AND(W165="Correctivo",X165="Manual"),"25%",""))))))</f>
        <v>40%</v>
      </c>
      <c r="Z165" s="154" t="s">
        <v>18</v>
      </c>
      <c r="AA165" s="154" t="s">
        <v>21</v>
      </c>
      <c r="AB165" s="154" t="s">
        <v>112</v>
      </c>
      <c r="AC165" s="156">
        <f>IFERROR(IF(V165="Probabilidad",(N165-(+N165*Y165)),IF(V165="Impacto",N165,"")),"")</f>
        <v>0.48</v>
      </c>
      <c r="AD165" s="157" t="str">
        <f>IFERROR(IF(AC165="","",IF(AC165&lt;=0.2,"Muy Baja",IF(AC165&lt;=0.4,"Baja",IF(AC165&lt;=0.6,"Media",IF(AC165&lt;=0.8,"Alta","Muy Alta"))))),"")</f>
        <v>Media</v>
      </c>
      <c r="AE165" s="158">
        <f>+AC165</f>
        <v>0.48</v>
      </c>
      <c r="AF165" s="157" t="str">
        <f>IFERROR(IF(AG165="","",IF(AG165&lt;=0.2,"Leve",IF(AG165&lt;=0.4,"Menor",IF(AG165&lt;=0.6,"Moderado",IF(AG165&lt;=0.8,"Mayor","Catastrófico"))))),"")</f>
        <v>Catastrófico</v>
      </c>
      <c r="AG165" s="158">
        <f>IFERROR(IF(V165="Impacto",(R165-(+R165*Y165)),IF(V165="Probabilidad",R165,"")),"")</f>
        <v>1</v>
      </c>
      <c r="AH165" s="159" t="str">
        <f>IFERROR(IF(OR(AND(AD165="Muy Baja",AF165="Leve"),AND(AD165="Muy Baja",AF165="Menor"),AND(AD165="Baja",AF165="Leve")),"Bajo",IF(OR(AND(AD165="Muy baja",AF165="Moderado"),AND(AD165="Baja",AF165="Menor"),AND(AD165="Baja",AF165="Moderado"),AND(AD165="Media",AF165="Leve"),AND(AD165="Media",AF165="Menor"),AND(AD165="Media",AF165="Moderado"),AND(AD165="Alta",AF165="Leve"),AND(AD165="Alta",AF165="Menor")),"Moderado",IF(OR(AND(AD165="Muy Baja",AF165="Mayor"),AND(AD165="Baja",AF165="Mayor"),AND(AD165="Media",AF165="Mayor"),AND(AD165="Alta",AF165="Moderado"),AND(AD165="Alta",AF165="Mayor"),AND(AD165="Muy Alta",AF165="Leve"),AND(AD165="Muy Alta",AF165="Menor"),AND(AD165="Muy Alta",AF165="Moderado"),AND(AD165="Muy Alta",AF165="Mayor")),"Alto",IF(OR(AND(AD165="Muy Baja",AF165="Catastrófico"),AND(AD165="Baja",AF165="Catastrófico"),AND(AD165="Media",AF165="Catastrófico"),AND(AD165="Alta",AF165="Catastrófico"),AND(AD165="Muy Alta",AF165="Catastrófico")),"Extremo","")))),"")</f>
        <v>Extremo</v>
      </c>
      <c r="AI165" s="161" t="s">
        <v>117</v>
      </c>
      <c r="AJ165" s="257" t="s">
        <v>587</v>
      </c>
      <c r="AK165" s="185" t="s">
        <v>192</v>
      </c>
      <c r="AL165" s="187">
        <v>45293</v>
      </c>
      <c r="AM165" s="195">
        <v>45657</v>
      </c>
      <c r="AN165" s="183" t="s">
        <v>284</v>
      </c>
      <c r="AO165" s="192" t="s">
        <v>269</v>
      </c>
      <c r="AP165" s="197" t="s">
        <v>588</v>
      </c>
      <c r="AQ165" s="10"/>
      <c r="AR165" s="10"/>
      <c r="AS165" s="10"/>
      <c r="AT165" s="10"/>
      <c r="AU165" s="10"/>
      <c r="AV165" s="10"/>
      <c r="AW165" s="10"/>
      <c r="AX165" s="10"/>
      <c r="AY165" s="10"/>
      <c r="AZ165" s="10"/>
      <c r="BA165" s="10"/>
      <c r="BB165" s="10"/>
      <c r="BC165" s="10"/>
      <c r="BD165" s="10"/>
      <c r="BE165" s="10"/>
      <c r="BF165" s="10"/>
      <c r="BG165" s="10"/>
      <c r="BH165" s="10"/>
      <c r="BI165" s="10"/>
      <c r="BJ165" s="10"/>
      <c r="BK165" s="10"/>
      <c r="BL165" s="10"/>
      <c r="BM165" s="10"/>
      <c r="BN165" s="10"/>
      <c r="BO165" s="10"/>
      <c r="BP165" s="10"/>
      <c r="BQ165" s="10"/>
      <c r="BR165" s="10"/>
      <c r="BS165" s="10"/>
      <c r="BT165" s="10"/>
      <c r="BU165" s="10"/>
    </row>
    <row r="166" spans="1:73" ht="171" x14ac:dyDescent="0.2">
      <c r="A166" s="214"/>
      <c r="B166" s="241"/>
      <c r="C166" s="241"/>
      <c r="D166" s="183"/>
      <c r="E166" s="181"/>
      <c r="F166" s="181"/>
      <c r="G166" s="181"/>
      <c r="H166" s="181"/>
      <c r="I166" s="242"/>
      <c r="J166" s="217"/>
      <c r="K166" s="183"/>
      <c r="L166" s="185"/>
      <c r="M166" s="205"/>
      <c r="N166" s="206"/>
      <c r="O166" s="203"/>
      <c r="P166" s="239">
        <f>IF(NOT(ISERROR(MATCH(O166,_xlfn.ANCHORARRAY(#REF!),0))),#REF!&amp;"Por favor no seleccionar los criterios de impacto",O166)</f>
        <v>0</v>
      </c>
      <c r="Q166" s="205"/>
      <c r="R166" s="206"/>
      <c r="S166" s="207"/>
      <c r="T166" s="152">
        <v>2</v>
      </c>
      <c r="U166" s="166" t="s">
        <v>578</v>
      </c>
      <c r="V166" s="153" t="str">
        <f>IF(OR(W166="Preventivo",W166="Detectivo"),"Probabilidad",IF(W166="Correctivo","Impacto",""))</f>
        <v>Probabilidad</v>
      </c>
      <c r="W166" s="154" t="s">
        <v>13</v>
      </c>
      <c r="X166" s="154" t="s">
        <v>8</v>
      </c>
      <c r="Y166" s="155" t="str">
        <f t="shared" ref="Y166:Y170" si="302">IF(AND(W166="Preventivo",X166="Automático"),"50%",IF(AND(W166="Preventivo",X166="Manual"),"40%",IF(AND(W166="Detectivo",X166="Automático"),"40%",IF(AND(W166="Detectivo",X166="Manual"),"30%",IF(AND(W166="Correctivo",X166="Automático"),"35%",IF(AND(W166="Correctivo",X166="Manual"),"25%",""))))))</f>
        <v>40%</v>
      </c>
      <c r="Z166" s="154" t="s">
        <v>18</v>
      </c>
      <c r="AA166" s="154" t="s">
        <v>21</v>
      </c>
      <c r="AB166" s="154" t="s">
        <v>112</v>
      </c>
      <c r="AC166" s="156">
        <f>IFERROR(IF(AND(V165="Probabilidad",V166="Probabilidad"),(AE165-(+AE165*Y166)),IF(V166="Probabilidad",(N165-(+N165*Y166)),IF(V166="Impacto",AE165,""))),"")</f>
        <v>0.28799999999999998</v>
      </c>
      <c r="AD166" s="157" t="str">
        <f t="shared" ref="AD166:AD170" si="303">IFERROR(IF(AC166="","",IF(AC166&lt;=0.2,"Muy Baja",IF(AC166&lt;=0.4,"Baja",IF(AC166&lt;=0.6,"Media",IF(AC166&lt;=0.8,"Alta","Muy Alta"))))),"")</f>
        <v>Baja</v>
      </c>
      <c r="AE166" s="158">
        <f t="shared" ref="AE166:AE170" si="304">+AC166</f>
        <v>0.28799999999999998</v>
      </c>
      <c r="AF166" s="157" t="str">
        <f t="shared" ref="AF166:AF170" si="305">IFERROR(IF(AG166="","",IF(AG166&lt;=0.2,"Leve",IF(AG166&lt;=0.4,"Menor",IF(AG166&lt;=0.6,"Moderado",IF(AG166&lt;=0.8,"Mayor","Catastrófico"))))),"")</f>
        <v>Catastrófico</v>
      </c>
      <c r="AG166" s="158">
        <f>IFERROR(IF(AND(V165="Impacto",V166="Impacto"),(AG165-(+AG165*Y166)),IF(V166="Impacto",(R165-(+R165*Y166)),IF(V166="Probabilidad",AG165,""))),"")</f>
        <v>1</v>
      </c>
      <c r="AH166" s="159" t="str">
        <f t="shared" ref="AH166:AH167" si="306">IFERROR(IF(OR(AND(AD166="Muy Baja",AF166="Leve"),AND(AD166="Muy Baja",AF166="Menor"),AND(AD166="Baja",AF166="Leve")),"Bajo",IF(OR(AND(AD166="Muy baja",AF166="Moderado"),AND(AD166="Baja",AF166="Menor"),AND(AD166="Baja",AF166="Moderado"),AND(AD166="Media",AF166="Leve"),AND(AD166="Media",AF166="Menor"),AND(AD166="Media",AF166="Moderado"),AND(AD166="Alta",AF166="Leve"),AND(AD166="Alta",AF166="Menor")),"Moderado",IF(OR(AND(AD166="Muy Baja",AF166="Mayor"),AND(AD166="Baja",AF166="Mayor"),AND(AD166="Media",AF166="Mayor"),AND(AD166="Alta",AF166="Moderado"),AND(AD166="Alta",AF166="Mayor"),AND(AD166="Muy Alta",AF166="Leve"),AND(AD166="Muy Alta",AF166="Menor"),AND(AD166="Muy Alta",AF166="Moderado"),AND(AD166="Muy Alta",AF166="Mayor")),"Alto",IF(OR(AND(AD166="Muy Baja",AF166="Catastrófico"),AND(AD166="Baja",AF166="Catastrófico"),AND(AD166="Media",AF166="Catastrófico"),AND(AD166="Alta",AF166="Catastrófico"),AND(AD166="Muy Alta",AF166="Catastrófico")),"Extremo","")))),"")</f>
        <v>Extremo</v>
      </c>
      <c r="AI166" s="161" t="s">
        <v>117</v>
      </c>
      <c r="AJ166" s="264"/>
      <c r="AK166" s="185"/>
      <c r="AL166" s="187"/>
      <c r="AM166" s="195"/>
      <c r="AN166" s="183"/>
      <c r="AO166" s="192"/>
      <c r="AP166" s="197"/>
    </row>
    <row r="167" spans="1:73" ht="99.75" x14ac:dyDescent="0.2">
      <c r="A167" s="214"/>
      <c r="B167" s="241"/>
      <c r="C167" s="241"/>
      <c r="D167" s="183"/>
      <c r="E167" s="181"/>
      <c r="F167" s="181"/>
      <c r="G167" s="181"/>
      <c r="H167" s="181"/>
      <c r="I167" s="242"/>
      <c r="J167" s="217"/>
      <c r="K167" s="183"/>
      <c r="L167" s="185"/>
      <c r="M167" s="205"/>
      <c r="N167" s="206"/>
      <c r="O167" s="203"/>
      <c r="P167" s="239">
        <f>IF(NOT(ISERROR(MATCH(O167,_xlfn.ANCHORARRAY(#REF!),0))),#REF!&amp;"Por favor no seleccionar los criterios de impacto",O167)</f>
        <v>0</v>
      </c>
      <c r="Q167" s="205"/>
      <c r="R167" s="206"/>
      <c r="S167" s="207"/>
      <c r="T167" s="152">
        <v>3</v>
      </c>
      <c r="U167" s="167" t="s">
        <v>579</v>
      </c>
      <c r="V167" s="153" t="str">
        <f>IF(OR(W167="Preventivo",W167="Detectivo"),"Probabilidad",IF(W167="Correctivo","Impacto",""))</f>
        <v>Probabilidad</v>
      </c>
      <c r="W167" s="154" t="s">
        <v>13</v>
      </c>
      <c r="X167" s="154" t="s">
        <v>8</v>
      </c>
      <c r="Y167" s="155" t="str">
        <f t="shared" si="302"/>
        <v>40%</v>
      </c>
      <c r="Z167" s="154" t="s">
        <v>18</v>
      </c>
      <c r="AA167" s="154" t="s">
        <v>21</v>
      </c>
      <c r="AB167" s="154" t="s">
        <v>112</v>
      </c>
      <c r="AC167" s="156">
        <f>IFERROR(IF(AND(V166="Probabilidad",V167="Probabilidad"),(AE166-(+AE166*Y167)),IF(AND(V166="Impacto",V167="Probabilidad"),(AE165-(+AE165*Y167)),IF(V167="Impacto",AE166,""))),"")</f>
        <v>0.17279999999999998</v>
      </c>
      <c r="AD167" s="157" t="str">
        <f t="shared" si="303"/>
        <v>Muy Baja</v>
      </c>
      <c r="AE167" s="158">
        <f t="shared" si="304"/>
        <v>0.17279999999999998</v>
      </c>
      <c r="AF167" s="157" t="str">
        <f t="shared" si="305"/>
        <v>Catastrófico</v>
      </c>
      <c r="AG167" s="158">
        <f>IFERROR(IF(AND(V166="Impacto",V167="Impacto"),(AG166-(+AG166*Y167)),IF(AND(V166="Probabilidad",V167="Impacto"),(AG165-(+AG165*Y167)),IF(V167="Probabilidad",AG166,""))),"")</f>
        <v>1</v>
      </c>
      <c r="AH167" s="159" t="str">
        <f t="shared" si="306"/>
        <v>Extremo</v>
      </c>
      <c r="AI167" s="161" t="s">
        <v>117</v>
      </c>
      <c r="AJ167" s="264"/>
      <c r="AK167" s="185"/>
      <c r="AL167" s="187"/>
      <c r="AM167" s="195"/>
      <c r="AN167" s="183"/>
      <c r="AO167" s="192"/>
      <c r="AP167" s="197"/>
    </row>
    <row r="168" spans="1:73" ht="15" customHeight="1" x14ac:dyDescent="0.2">
      <c r="A168" s="214"/>
      <c r="B168" s="241"/>
      <c r="C168" s="241"/>
      <c r="D168" s="183"/>
      <c r="E168" s="181"/>
      <c r="F168" s="181"/>
      <c r="G168" s="181"/>
      <c r="H168" s="181"/>
      <c r="I168" s="242"/>
      <c r="J168" s="217"/>
      <c r="K168" s="183"/>
      <c r="L168" s="185"/>
      <c r="M168" s="205"/>
      <c r="N168" s="206"/>
      <c r="O168" s="203"/>
      <c r="P168" s="239">
        <f>IF(NOT(ISERROR(MATCH(O168,_xlfn.ANCHORARRAY(#REF!),0))),#REF!&amp;"Por favor no seleccionar los criterios de impacto",O168)</f>
        <v>0</v>
      </c>
      <c r="Q168" s="205"/>
      <c r="R168" s="206"/>
      <c r="S168" s="207"/>
      <c r="T168" s="152">
        <v>4</v>
      </c>
      <c r="U168" s="160"/>
      <c r="V168" s="153" t="str">
        <f t="shared" ref="V168:V170" si="307">IF(OR(W168="Preventivo",W168="Detectivo"),"Probabilidad",IF(W168="Correctivo","Impacto",""))</f>
        <v/>
      </c>
      <c r="W168" s="154"/>
      <c r="X168" s="154"/>
      <c r="Y168" s="155" t="str">
        <f t="shared" si="302"/>
        <v/>
      </c>
      <c r="Z168" s="154"/>
      <c r="AA168" s="154"/>
      <c r="AB168" s="154"/>
      <c r="AC168" s="156" t="str">
        <f t="shared" ref="AC168:AC170" si="308">IFERROR(IF(AND(V167="Probabilidad",V168="Probabilidad"),(AE167-(+AE167*Y168)),IF(AND(V167="Impacto",V168="Probabilidad"),(AE166-(+AE166*Y168)),IF(V168="Impacto",AE167,""))),"")</f>
        <v/>
      </c>
      <c r="AD168" s="157" t="str">
        <f t="shared" si="303"/>
        <v/>
      </c>
      <c r="AE168" s="158" t="str">
        <f t="shared" si="304"/>
        <v/>
      </c>
      <c r="AF168" s="157" t="str">
        <f t="shared" si="305"/>
        <v/>
      </c>
      <c r="AG168" s="158" t="str">
        <f t="shared" ref="AG168:AG170" si="309">IFERROR(IF(AND(V167="Impacto",V168="Impacto"),(AG167-(+AG167*Y168)),IF(AND(V167="Probabilidad",V168="Impacto"),(AG166-(+AG166*Y168)),IF(V168="Probabilidad",AG167,""))),"")</f>
        <v/>
      </c>
      <c r="AH168" s="159" t="str">
        <f>IFERROR(IF(OR(AND(AD168="Muy Baja",AF168="Leve"),AND(AD168="Muy Baja",AF168="Menor"),AND(AD168="Baja",AF168="Leve")),"Bajo",IF(OR(AND(AD168="Muy baja",AF168="Moderado"),AND(AD168="Baja",AF168="Menor"),AND(AD168="Baja",AF168="Moderado"),AND(AD168="Media",AF168="Leve"),AND(AD168="Media",AF168="Menor"),AND(AD168="Media",AF168="Moderado"),AND(AD168="Alta",AF168="Leve"),AND(AD168="Alta",AF168="Menor")),"Moderado",IF(OR(AND(AD168="Muy Baja",AF168="Mayor"),AND(AD168="Baja",AF168="Mayor"),AND(AD168="Media",AF168="Mayor"),AND(AD168="Alta",AF168="Moderado"),AND(AD168="Alta",AF168="Mayor"),AND(AD168="Muy Alta",AF168="Leve"),AND(AD168="Muy Alta",AF168="Menor"),AND(AD168="Muy Alta",AF168="Moderado"),AND(AD168="Muy Alta",AF168="Mayor")),"Alto",IF(OR(AND(AD168="Muy Baja",AF168="Catastrófico"),AND(AD168="Baja",AF168="Catastrófico"),AND(AD168="Media",AF168="Catastrófico"),AND(AD168="Alta",AF168="Catastrófico"),AND(AD168="Muy Alta",AF168="Catastrófico")),"Extremo","")))),"")</f>
        <v/>
      </c>
      <c r="AI168" s="161"/>
      <c r="AJ168" s="264"/>
      <c r="AK168" s="185"/>
      <c r="AL168" s="187"/>
      <c r="AM168" s="195"/>
      <c r="AN168" s="183"/>
      <c r="AO168" s="192"/>
      <c r="AP168" s="197"/>
    </row>
    <row r="169" spans="1:73" ht="15" customHeight="1" x14ac:dyDescent="0.2">
      <c r="A169" s="214"/>
      <c r="B169" s="241"/>
      <c r="C169" s="241"/>
      <c r="D169" s="183"/>
      <c r="E169" s="181"/>
      <c r="F169" s="181"/>
      <c r="G169" s="181"/>
      <c r="H169" s="181"/>
      <c r="I169" s="242"/>
      <c r="J169" s="217"/>
      <c r="K169" s="183"/>
      <c r="L169" s="185"/>
      <c r="M169" s="205"/>
      <c r="N169" s="206"/>
      <c r="O169" s="203"/>
      <c r="P169" s="239">
        <f>IF(NOT(ISERROR(MATCH(O169,_xlfn.ANCHORARRAY(#REF!),0))),N172&amp;"Por favor no seleccionar los criterios de impacto",O169)</f>
        <v>0</v>
      </c>
      <c r="Q169" s="205"/>
      <c r="R169" s="206"/>
      <c r="S169" s="207"/>
      <c r="T169" s="152">
        <v>5</v>
      </c>
      <c r="U169" s="160"/>
      <c r="V169" s="153" t="str">
        <f t="shared" si="307"/>
        <v/>
      </c>
      <c r="W169" s="154"/>
      <c r="X169" s="154"/>
      <c r="Y169" s="155" t="str">
        <f t="shared" si="302"/>
        <v/>
      </c>
      <c r="Z169" s="154"/>
      <c r="AA169" s="154"/>
      <c r="AB169" s="154"/>
      <c r="AC169" s="156" t="str">
        <f t="shared" si="308"/>
        <v/>
      </c>
      <c r="AD169" s="157" t="str">
        <f t="shared" si="303"/>
        <v/>
      </c>
      <c r="AE169" s="158" t="str">
        <f t="shared" si="304"/>
        <v/>
      </c>
      <c r="AF169" s="157" t="str">
        <f t="shared" si="305"/>
        <v/>
      </c>
      <c r="AG169" s="158" t="str">
        <f t="shared" si="309"/>
        <v/>
      </c>
      <c r="AH169" s="159" t="str">
        <f t="shared" ref="AH169:AH170" si="310">IFERROR(IF(OR(AND(AD169="Muy Baja",AF169="Leve"),AND(AD169="Muy Baja",AF169="Menor"),AND(AD169="Baja",AF169="Leve")),"Bajo",IF(OR(AND(AD169="Muy baja",AF169="Moderado"),AND(AD169="Baja",AF169="Menor"),AND(AD169="Baja",AF169="Moderado"),AND(AD169="Media",AF169="Leve"),AND(AD169="Media",AF169="Menor"),AND(AD169="Media",AF169="Moderado"),AND(AD169="Alta",AF169="Leve"),AND(AD169="Alta",AF169="Menor")),"Moderado",IF(OR(AND(AD169="Muy Baja",AF169="Mayor"),AND(AD169="Baja",AF169="Mayor"),AND(AD169="Media",AF169="Mayor"),AND(AD169="Alta",AF169="Moderado"),AND(AD169="Alta",AF169="Mayor"),AND(AD169="Muy Alta",AF169="Leve"),AND(AD169="Muy Alta",AF169="Menor"),AND(AD169="Muy Alta",AF169="Moderado"),AND(AD169="Muy Alta",AF169="Mayor")),"Alto",IF(OR(AND(AD169="Muy Baja",AF169="Catastrófico"),AND(AD169="Baja",AF169="Catastrófico"),AND(AD169="Media",AF169="Catastrófico"),AND(AD169="Alta",AF169="Catastrófico"),AND(AD169="Muy Alta",AF169="Catastrófico")),"Extremo","")))),"")</f>
        <v/>
      </c>
      <c r="AI169" s="161"/>
      <c r="AJ169" s="264"/>
      <c r="AK169" s="185"/>
      <c r="AL169" s="187"/>
      <c r="AM169" s="195"/>
      <c r="AN169" s="183"/>
      <c r="AO169" s="192"/>
      <c r="AP169" s="197"/>
    </row>
    <row r="170" spans="1:73" ht="15" customHeight="1" x14ac:dyDescent="0.2">
      <c r="A170" s="214"/>
      <c r="B170" s="241"/>
      <c r="C170" s="241"/>
      <c r="D170" s="183"/>
      <c r="E170" s="181"/>
      <c r="F170" s="181"/>
      <c r="G170" s="181"/>
      <c r="H170" s="181"/>
      <c r="I170" s="242"/>
      <c r="J170" s="217"/>
      <c r="K170" s="183"/>
      <c r="L170" s="185"/>
      <c r="M170" s="205"/>
      <c r="N170" s="206"/>
      <c r="O170" s="203"/>
      <c r="P170" s="239">
        <f>IF(NOT(ISERROR(MATCH(O170,_xlfn.ANCHORARRAY(#REF!),0))),N173&amp;"Por favor no seleccionar los criterios de impacto",O170)</f>
        <v>0</v>
      </c>
      <c r="Q170" s="205"/>
      <c r="R170" s="206"/>
      <c r="S170" s="207"/>
      <c r="T170" s="152">
        <v>6</v>
      </c>
      <c r="U170" s="160"/>
      <c r="V170" s="153" t="str">
        <f t="shared" si="307"/>
        <v/>
      </c>
      <c r="W170" s="154"/>
      <c r="X170" s="154"/>
      <c r="Y170" s="155" t="str">
        <f t="shared" si="302"/>
        <v/>
      </c>
      <c r="Z170" s="154"/>
      <c r="AA170" s="154"/>
      <c r="AB170" s="154"/>
      <c r="AC170" s="156" t="str">
        <f t="shared" si="308"/>
        <v/>
      </c>
      <c r="AD170" s="157" t="str">
        <f t="shared" si="303"/>
        <v/>
      </c>
      <c r="AE170" s="158" t="str">
        <f t="shared" si="304"/>
        <v/>
      </c>
      <c r="AF170" s="157" t="str">
        <f t="shared" si="305"/>
        <v/>
      </c>
      <c r="AG170" s="158" t="str">
        <f t="shared" si="309"/>
        <v/>
      </c>
      <c r="AH170" s="159" t="str">
        <f t="shared" si="310"/>
        <v/>
      </c>
      <c r="AI170" s="161"/>
      <c r="AJ170" s="196"/>
      <c r="AK170" s="185"/>
      <c r="AL170" s="187"/>
      <c r="AM170" s="195"/>
      <c r="AN170" s="183"/>
      <c r="AO170" s="192"/>
      <c r="AP170" s="197"/>
    </row>
    <row r="171" spans="1:73" ht="128.25" x14ac:dyDescent="0.2">
      <c r="A171" s="214">
        <v>30</v>
      </c>
      <c r="B171" s="262" t="s">
        <v>246</v>
      </c>
      <c r="C171" s="241" t="s">
        <v>544</v>
      </c>
      <c r="D171" s="183" t="s">
        <v>268</v>
      </c>
      <c r="E171" s="197" t="s">
        <v>560</v>
      </c>
      <c r="F171" s="197" t="s">
        <v>565</v>
      </c>
      <c r="G171" s="197" t="s">
        <v>566</v>
      </c>
      <c r="H171" s="289" t="s">
        <v>567</v>
      </c>
      <c r="I171" s="289" t="s">
        <v>568</v>
      </c>
      <c r="J171" s="217" t="s">
        <v>238</v>
      </c>
      <c r="K171" s="197" t="s">
        <v>242</v>
      </c>
      <c r="L171" s="185">
        <v>2000</v>
      </c>
      <c r="M171" s="205" t="str">
        <f t="shared" ref="M171" si="311">IF(L171&lt;=0,"",IF(L171&lt;=2,"Muy Baja",IF(L171&lt;=24,"Baja",IF(L171&lt;=500,"Media",IF(L171&lt;=5000,"Alta","Muy Alta")))))</f>
        <v>Alta</v>
      </c>
      <c r="N171" s="206">
        <f t="shared" ref="N171" si="312">IF(M171="","",IF(M171="Muy Baja",0.2,IF(M171="Baja",0.4,IF(M171="Media",0.6,IF(M171="Alta",0.8,IF(M171="Muy Alta",1,))))))</f>
        <v>0.8</v>
      </c>
      <c r="O171" s="203" t="s">
        <v>131</v>
      </c>
      <c r="P171" s="239" t="str">
        <f>IF(NOT(ISERROR(MATCH(O171,'Tabla Impacto'!$B$221:$B$223,0))),'Tabla Impacto'!$F$223&amp;"Por favor no seleccionar los criterios de impacto(Afectación Económica o presupuestal y Pérdida Reputacional)",O171)</f>
        <v xml:space="preserve">     Mayor a 500 SMLMV </v>
      </c>
      <c r="Q171" s="205" t="str">
        <f>IF(OR(P171='Tabla Impacto'!$C$11,P171='Tabla Impacto'!$D$11),"Leve",IF(OR(P171='Tabla Impacto'!$C$12,P171='Tabla Impacto'!$D$12),"Menor",IF(OR(P171='Tabla Impacto'!$C$13,P171='Tabla Impacto'!$D$13),"Moderado",IF(OR(P171='Tabla Impacto'!$C$14,P171='Tabla Impacto'!$D$14),"Mayor",IF(OR(P171='Tabla Impacto'!$C$15,P171='Tabla Impacto'!$D$15),"Catastrófico","")))))</f>
        <v>Catastrófico</v>
      </c>
      <c r="R171" s="206">
        <f t="shared" ref="R171" si="313">IF(Q171="","",IF(Q171="Leve",0.2,IF(Q171="Menor",0.4,IF(Q171="Moderado",0.6,IF(Q171="Mayor",0.8,IF(Q171="Catastrófico",1,))))))</f>
        <v>1</v>
      </c>
      <c r="S171" s="207" t="str">
        <f t="shared" ref="S171" si="314">IF(OR(AND(M171="Muy Baja",Q171="Leve"),AND(M171="Muy Baja",Q171="Menor"),AND(M171="Baja",Q171="Leve")),"Bajo",IF(OR(AND(M171="Muy baja",Q171="Moderado"),AND(M171="Baja",Q171="Menor"),AND(M171="Baja",Q171="Moderado"),AND(M171="Media",Q171="Leve"),AND(M171="Media",Q171="Menor"),AND(M171="Media",Q171="Moderado"),AND(M171="Alta",Q171="Leve"),AND(M171="Alta",Q171="Menor")),"Moderado",IF(OR(AND(M171="Muy Baja",Q171="Mayor"),AND(M171="Baja",Q171="Mayor"),AND(M171="Media",Q171="Mayor"),AND(M171="Alta",Q171="Moderado"),AND(M171="Alta",Q171="Mayor"),AND(M171="Muy Alta",Q171="Leve"),AND(M171="Muy Alta",Q171="Menor"),AND(M171="Muy Alta",Q171="Moderado"),AND(M171="Muy Alta",Q171="Mayor")),"Alto",IF(OR(AND(M171="Muy Baja",Q171="Catastrófico"),AND(M171="Baja",Q171="Catastrófico"),AND(M171="Media",Q171="Catastrófico"),AND(M171="Alta",Q171="Catastrófico"),AND(M171="Muy Alta",Q171="Catastrófico")),"Extremo",""))))</f>
        <v>Extremo</v>
      </c>
      <c r="T171" s="152">
        <v>1</v>
      </c>
      <c r="U171" s="166" t="s">
        <v>580</v>
      </c>
      <c r="V171" s="153" t="str">
        <f>IF(OR(W171="Preventivo",W171="Detectivo"),"Probabilidad",IF(W171="Correctivo","Impacto",""))</f>
        <v>Probabilidad</v>
      </c>
      <c r="W171" s="154" t="s">
        <v>13</v>
      </c>
      <c r="X171" s="154" t="s">
        <v>8</v>
      </c>
      <c r="Y171" s="155" t="str">
        <f>IF(AND(W171="Preventivo",X171="Automático"),"50%",IF(AND(W171="Preventivo",X171="Manual"),"40%",IF(AND(W171="Detectivo",X171="Automático"),"40%",IF(AND(W171="Detectivo",X171="Manual"),"30%",IF(AND(W171="Correctivo",X171="Automático"),"35%",IF(AND(W171="Correctivo",X171="Manual"),"25%",""))))))</f>
        <v>40%</v>
      </c>
      <c r="Z171" s="154" t="s">
        <v>18</v>
      </c>
      <c r="AA171" s="154" t="s">
        <v>21</v>
      </c>
      <c r="AB171" s="154" t="s">
        <v>112</v>
      </c>
      <c r="AC171" s="156">
        <f>IFERROR(IF(V171="Probabilidad",(N171-(+N171*Y171)),IF(V171="Impacto",N171,"")),"")</f>
        <v>0.48</v>
      </c>
      <c r="AD171" s="157" t="str">
        <f>IFERROR(IF(AC171="","",IF(AC171&lt;=0.2,"Muy Baja",IF(AC171&lt;=0.4,"Baja",IF(AC171&lt;=0.6,"Media",IF(AC171&lt;=0.8,"Alta","Muy Alta"))))),"")</f>
        <v>Media</v>
      </c>
      <c r="AE171" s="158">
        <f>+AC171</f>
        <v>0.48</v>
      </c>
      <c r="AF171" s="157" t="str">
        <f>IFERROR(IF(AG171="","",IF(AG171&lt;=0.2,"Leve",IF(AG171&lt;=0.4,"Menor",IF(AG171&lt;=0.6,"Moderado",IF(AG171&lt;=0.8,"Mayor","Catastrófico"))))),"")</f>
        <v>Catastrófico</v>
      </c>
      <c r="AG171" s="158">
        <f>IFERROR(IF(V171="Impacto",(R171-(+R171*Y171)),IF(V171="Probabilidad",R171,"")),"")</f>
        <v>1</v>
      </c>
      <c r="AH171" s="159" t="str">
        <f>IFERROR(IF(OR(AND(AD171="Muy Baja",AF171="Leve"),AND(AD171="Muy Baja",AF171="Menor"),AND(AD171="Baja",AF171="Leve")),"Bajo",IF(OR(AND(AD171="Muy baja",AF171="Moderado"),AND(AD171="Baja",AF171="Menor"),AND(AD171="Baja",AF171="Moderado"),AND(AD171="Media",AF171="Leve"),AND(AD171="Media",AF171="Menor"),AND(AD171="Media",AF171="Moderado"),AND(AD171="Alta",AF171="Leve"),AND(AD171="Alta",AF171="Menor")),"Moderado",IF(OR(AND(AD171="Muy Baja",AF171="Mayor"),AND(AD171="Baja",AF171="Mayor"),AND(AD171="Media",AF171="Mayor"),AND(AD171="Alta",AF171="Moderado"),AND(AD171="Alta",AF171="Mayor"),AND(AD171="Muy Alta",AF171="Leve"),AND(AD171="Muy Alta",AF171="Menor"),AND(AD171="Muy Alta",AF171="Moderado"),AND(AD171="Muy Alta",AF171="Mayor")),"Alto",IF(OR(AND(AD171="Muy Baja",AF171="Catastrófico"),AND(AD171="Baja",AF171="Catastrófico"),AND(AD171="Media",AF171="Catastrófico"),AND(AD171="Alta",AF171="Catastrófico"),AND(AD171="Muy Alta",AF171="Catastrófico")),"Extremo","")))),"")</f>
        <v>Extremo</v>
      </c>
      <c r="AI171" s="161" t="s">
        <v>117</v>
      </c>
      <c r="AJ171" s="257" t="s">
        <v>587</v>
      </c>
      <c r="AK171" s="185" t="s">
        <v>192</v>
      </c>
      <c r="AL171" s="187">
        <v>45293</v>
      </c>
      <c r="AM171" s="195">
        <v>45657</v>
      </c>
      <c r="AN171" s="183" t="s">
        <v>284</v>
      </c>
      <c r="AO171" s="192" t="s">
        <v>269</v>
      </c>
      <c r="AP171" s="197" t="s">
        <v>589</v>
      </c>
      <c r="AQ171" s="10"/>
      <c r="AR171" s="10"/>
      <c r="AS171" s="10"/>
      <c r="AT171" s="10"/>
      <c r="AU171" s="10"/>
      <c r="AV171" s="10"/>
      <c r="AW171" s="10"/>
      <c r="AX171" s="10"/>
      <c r="AY171" s="10"/>
      <c r="AZ171" s="10"/>
      <c r="BA171" s="10"/>
      <c r="BB171" s="10"/>
      <c r="BC171" s="10"/>
      <c r="BD171" s="10"/>
      <c r="BE171" s="10"/>
      <c r="BF171" s="10"/>
      <c r="BG171" s="10"/>
      <c r="BH171" s="10"/>
      <c r="BI171" s="10"/>
      <c r="BJ171" s="10"/>
      <c r="BK171" s="10"/>
      <c r="BL171" s="10"/>
      <c r="BM171" s="10"/>
      <c r="BN171" s="10"/>
      <c r="BO171" s="10"/>
      <c r="BP171" s="10"/>
      <c r="BQ171" s="10"/>
      <c r="BR171" s="10"/>
      <c r="BS171" s="10"/>
      <c r="BT171" s="10"/>
      <c r="BU171" s="10"/>
    </row>
    <row r="172" spans="1:73" ht="156.75" x14ac:dyDescent="0.2">
      <c r="A172" s="214"/>
      <c r="B172" s="263"/>
      <c r="C172" s="241"/>
      <c r="D172" s="183"/>
      <c r="E172" s="197"/>
      <c r="F172" s="197"/>
      <c r="G172" s="197"/>
      <c r="H172" s="289"/>
      <c r="I172" s="289"/>
      <c r="J172" s="217"/>
      <c r="K172" s="197"/>
      <c r="L172" s="185"/>
      <c r="M172" s="205"/>
      <c r="N172" s="206"/>
      <c r="O172" s="203"/>
      <c r="P172" s="239">
        <f>IF(NOT(ISERROR(MATCH(O172,_xlfn.ANCHORARRAY(#REF!),0))),#REF!&amp;"Por favor no seleccionar los criterios de impacto",O172)</f>
        <v>0</v>
      </c>
      <c r="Q172" s="205"/>
      <c r="R172" s="206"/>
      <c r="S172" s="207"/>
      <c r="T172" s="152">
        <v>2</v>
      </c>
      <c r="U172" s="166" t="s">
        <v>581</v>
      </c>
      <c r="V172" s="153" t="str">
        <f>IF(OR(W172="Preventivo",W172="Detectivo"),"Probabilidad",IF(W172="Correctivo","Impacto",""))</f>
        <v>Probabilidad</v>
      </c>
      <c r="W172" s="154" t="s">
        <v>14</v>
      </c>
      <c r="X172" s="154" t="s">
        <v>8</v>
      </c>
      <c r="Y172" s="155" t="str">
        <f t="shared" ref="Y172:Y176" si="315">IF(AND(W172="Preventivo",X172="Automático"),"50%",IF(AND(W172="Preventivo",X172="Manual"),"40%",IF(AND(W172="Detectivo",X172="Automático"),"40%",IF(AND(W172="Detectivo",X172="Manual"),"30%",IF(AND(W172="Correctivo",X172="Automático"),"35%",IF(AND(W172="Correctivo",X172="Manual"),"25%",""))))))</f>
        <v>30%</v>
      </c>
      <c r="Z172" s="154" t="s">
        <v>18</v>
      </c>
      <c r="AA172" s="154" t="s">
        <v>21</v>
      </c>
      <c r="AB172" s="154" t="s">
        <v>112</v>
      </c>
      <c r="AC172" s="156">
        <f>IFERROR(IF(AND(V171="Probabilidad",V172="Probabilidad"),(AE171-(+AE171*Y172)),IF(V172="Probabilidad",(N171-(+N171*Y172)),IF(V172="Impacto",AE171,""))),"")</f>
        <v>0.33599999999999997</v>
      </c>
      <c r="AD172" s="157" t="str">
        <f t="shared" ref="AD172:AD176" si="316">IFERROR(IF(AC172="","",IF(AC172&lt;=0.2,"Muy Baja",IF(AC172&lt;=0.4,"Baja",IF(AC172&lt;=0.6,"Media",IF(AC172&lt;=0.8,"Alta","Muy Alta"))))),"")</f>
        <v>Baja</v>
      </c>
      <c r="AE172" s="158">
        <f t="shared" ref="AE172:AE176" si="317">+AC172</f>
        <v>0.33599999999999997</v>
      </c>
      <c r="AF172" s="157" t="str">
        <f t="shared" ref="AF172:AF176" si="318">IFERROR(IF(AG172="","",IF(AG172&lt;=0.2,"Leve",IF(AG172&lt;=0.4,"Menor",IF(AG172&lt;=0.6,"Moderado",IF(AG172&lt;=0.8,"Mayor","Catastrófico"))))),"")</f>
        <v>Catastrófico</v>
      </c>
      <c r="AG172" s="158">
        <f>IFERROR(IF(AND(V171="Impacto",V172="Impacto"),(AG171-(+AG171*Y172)),IF(V172="Impacto",(R171-(+R171*Y172)),IF(V172="Probabilidad",AG171,""))),"")</f>
        <v>1</v>
      </c>
      <c r="AH172" s="159" t="str">
        <f t="shared" ref="AH172:AH173" si="319">IFERROR(IF(OR(AND(AD172="Muy Baja",AF172="Leve"),AND(AD172="Muy Baja",AF172="Menor"),AND(AD172="Baja",AF172="Leve")),"Bajo",IF(OR(AND(AD172="Muy baja",AF172="Moderado"),AND(AD172="Baja",AF172="Menor"),AND(AD172="Baja",AF172="Moderado"),AND(AD172="Media",AF172="Leve"),AND(AD172="Media",AF172="Menor"),AND(AD172="Media",AF172="Moderado"),AND(AD172="Alta",AF172="Leve"),AND(AD172="Alta",AF172="Menor")),"Moderado",IF(OR(AND(AD172="Muy Baja",AF172="Mayor"),AND(AD172="Baja",AF172="Mayor"),AND(AD172="Media",AF172="Mayor"),AND(AD172="Alta",AF172="Moderado"),AND(AD172="Alta",AF172="Mayor"),AND(AD172="Muy Alta",AF172="Leve"),AND(AD172="Muy Alta",AF172="Menor"),AND(AD172="Muy Alta",AF172="Moderado"),AND(AD172="Muy Alta",AF172="Mayor")),"Alto",IF(OR(AND(AD172="Muy Baja",AF172="Catastrófico"),AND(AD172="Baja",AF172="Catastrófico"),AND(AD172="Media",AF172="Catastrófico"),AND(AD172="Alta",AF172="Catastrófico"),AND(AD172="Muy Alta",AF172="Catastrófico")),"Extremo","")))),"")</f>
        <v>Extremo</v>
      </c>
      <c r="AI172" s="161" t="s">
        <v>117</v>
      </c>
      <c r="AJ172" s="264"/>
      <c r="AK172" s="185"/>
      <c r="AL172" s="187"/>
      <c r="AM172" s="195"/>
      <c r="AN172" s="183"/>
      <c r="AO172" s="192"/>
      <c r="AP172" s="197"/>
    </row>
    <row r="173" spans="1:73" ht="15" customHeight="1" x14ac:dyDescent="0.2">
      <c r="A173" s="214"/>
      <c r="B173" s="263"/>
      <c r="C173" s="241"/>
      <c r="D173" s="183"/>
      <c r="E173" s="197"/>
      <c r="F173" s="197"/>
      <c r="G173" s="197"/>
      <c r="H173" s="289"/>
      <c r="I173" s="289"/>
      <c r="J173" s="217"/>
      <c r="K173" s="197"/>
      <c r="L173" s="185"/>
      <c r="M173" s="205"/>
      <c r="N173" s="206"/>
      <c r="O173" s="203"/>
      <c r="P173" s="239">
        <f>IF(NOT(ISERROR(MATCH(O173,_xlfn.ANCHORARRAY(#REF!),0))),#REF!&amp;"Por favor no seleccionar los criterios de impacto",O173)</f>
        <v>0</v>
      </c>
      <c r="Q173" s="205"/>
      <c r="R173" s="206"/>
      <c r="S173" s="207"/>
      <c r="T173" s="152">
        <v>3</v>
      </c>
      <c r="U173" s="167"/>
      <c r="V173" s="153" t="str">
        <f>IF(OR(W173="Preventivo",W173="Detectivo"),"Probabilidad",IF(W173="Correctivo","Impacto",""))</f>
        <v/>
      </c>
      <c r="W173" s="154"/>
      <c r="X173" s="154"/>
      <c r="Y173" s="155" t="str">
        <f t="shared" si="315"/>
        <v/>
      </c>
      <c r="Z173" s="154"/>
      <c r="AA173" s="154"/>
      <c r="AB173" s="154"/>
      <c r="AC173" s="156" t="str">
        <f>IFERROR(IF(AND(V172="Probabilidad",V173="Probabilidad"),(AE172-(+AE172*Y173)),IF(AND(V172="Impacto",V173="Probabilidad"),(AE171-(+AE171*Y173)),IF(V173="Impacto",AE172,""))),"")</f>
        <v/>
      </c>
      <c r="AD173" s="157" t="str">
        <f t="shared" si="316"/>
        <v/>
      </c>
      <c r="AE173" s="158" t="str">
        <f t="shared" si="317"/>
        <v/>
      </c>
      <c r="AF173" s="157" t="str">
        <f t="shared" si="318"/>
        <v/>
      </c>
      <c r="AG173" s="158" t="str">
        <f>IFERROR(IF(AND(V172="Impacto",V173="Impacto"),(AG172-(+AG172*Y173)),IF(AND(V172="Probabilidad",V173="Impacto"),(AG171-(+AG171*Y173)),IF(V173="Probabilidad",AG172,""))),"")</f>
        <v/>
      </c>
      <c r="AH173" s="159" t="str">
        <f t="shared" si="319"/>
        <v/>
      </c>
      <c r="AI173" s="161"/>
      <c r="AJ173" s="264"/>
      <c r="AK173" s="185"/>
      <c r="AL173" s="187"/>
      <c r="AM173" s="195"/>
      <c r="AN173" s="183"/>
      <c r="AO173" s="192"/>
      <c r="AP173" s="197"/>
    </row>
    <row r="174" spans="1:73" ht="15" customHeight="1" x14ac:dyDescent="0.2">
      <c r="A174" s="214"/>
      <c r="B174" s="263"/>
      <c r="C174" s="241"/>
      <c r="D174" s="183"/>
      <c r="E174" s="197"/>
      <c r="F174" s="197"/>
      <c r="G174" s="197"/>
      <c r="H174" s="289"/>
      <c r="I174" s="289"/>
      <c r="J174" s="217"/>
      <c r="K174" s="197"/>
      <c r="L174" s="185"/>
      <c r="M174" s="205"/>
      <c r="N174" s="206"/>
      <c r="O174" s="203"/>
      <c r="P174" s="239">
        <f>IF(NOT(ISERROR(MATCH(O174,_xlfn.ANCHORARRAY(#REF!),0))),#REF!&amp;"Por favor no seleccionar los criterios de impacto",O174)</f>
        <v>0</v>
      </c>
      <c r="Q174" s="205"/>
      <c r="R174" s="206"/>
      <c r="S174" s="207"/>
      <c r="T174" s="152">
        <v>4</v>
      </c>
      <c r="U174" s="160"/>
      <c r="V174" s="153" t="str">
        <f t="shared" ref="V174:V176" si="320">IF(OR(W174="Preventivo",W174="Detectivo"),"Probabilidad",IF(W174="Correctivo","Impacto",""))</f>
        <v/>
      </c>
      <c r="W174" s="154"/>
      <c r="X174" s="154"/>
      <c r="Y174" s="155" t="str">
        <f t="shared" si="315"/>
        <v/>
      </c>
      <c r="Z174" s="154"/>
      <c r="AA174" s="154"/>
      <c r="AB174" s="154"/>
      <c r="AC174" s="156" t="str">
        <f t="shared" ref="AC174:AC176" si="321">IFERROR(IF(AND(V173="Probabilidad",V174="Probabilidad"),(AE173-(+AE173*Y174)),IF(AND(V173="Impacto",V174="Probabilidad"),(AE172-(+AE172*Y174)),IF(V174="Impacto",AE173,""))),"")</f>
        <v/>
      </c>
      <c r="AD174" s="157" t="str">
        <f t="shared" si="316"/>
        <v/>
      </c>
      <c r="AE174" s="158" t="str">
        <f t="shared" si="317"/>
        <v/>
      </c>
      <c r="AF174" s="157" t="str">
        <f t="shared" si="318"/>
        <v/>
      </c>
      <c r="AG174" s="158" t="str">
        <f t="shared" ref="AG174:AG176" si="322">IFERROR(IF(AND(V173="Impacto",V174="Impacto"),(AG173-(+AG173*Y174)),IF(AND(V173="Probabilidad",V174="Impacto"),(AG172-(+AG172*Y174)),IF(V174="Probabilidad",AG173,""))),"")</f>
        <v/>
      </c>
      <c r="AH174" s="159" t="str">
        <f>IFERROR(IF(OR(AND(AD174="Muy Baja",AF174="Leve"),AND(AD174="Muy Baja",AF174="Menor"),AND(AD174="Baja",AF174="Leve")),"Bajo",IF(OR(AND(AD174="Muy baja",AF174="Moderado"),AND(AD174="Baja",AF174="Menor"),AND(AD174="Baja",AF174="Moderado"),AND(AD174="Media",AF174="Leve"),AND(AD174="Media",AF174="Menor"),AND(AD174="Media",AF174="Moderado"),AND(AD174="Alta",AF174="Leve"),AND(AD174="Alta",AF174="Menor")),"Moderado",IF(OR(AND(AD174="Muy Baja",AF174="Mayor"),AND(AD174="Baja",AF174="Mayor"),AND(AD174="Media",AF174="Mayor"),AND(AD174="Alta",AF174="Moderado"),AND(AD174="Alta",AF174="Mayor"),AND(AD174="Muy Alta",AF174="Leve"),AND(AD174="Muy Alta",AF174="Menor"),AND(AD174="Muy Alta",AF174="Moderado"),AND(AD174="Muy Alta",AF174="Mayor")),"Alto",IF(OR(AND(AD174="Muy Baja",AF174="Catastrófico"),AND(AD174="Baja",AF174="Catastrófico"),AND(AD174="Media",AF174="Catastrófico"),AND(AD174="Alta",AF174="Catastrófico"),AND(AD174="Muy Alta",AF174="Catastrófico")),"Extremo","")))),"")</f>
        <v/>
      </c>
      <c r="AI174" s="161"/>
      <c r="AJ174" s="264"/>
      <c r="AK174" s="185"/>
      <c r="AL174" s="187"/>
      <c r="AM174" s="195"/>
      <c r="AN174" s="183"/>
      <c r="AO174" s="192"/>
      <c r="AP174" s="197"/>
    </row>
    <row r="175" spans="1:73" ht="15" customHeight="1" x14ac:dyDescent="0.2">
      <c r="A175" s="214"/>
      <c r="B175" s="263"/>
      <c r="C175" s="241"/>
      <c r="D175" s="183"/>
      <c r="E175" s="197"/>
      <c r="F175" s="197"/>
      <c r="G175" s="197"/>
      <c r="H175" s="289"/>
      <c r="I175" s="289"/>
      <c r="J175" s="217"/>
      <c r="K175" s="197"/>
      <c r="L175" s="185"/>
      <c r="M175" s="205"/>
      <c r="N175" s="206"/>
      <c r="O175" s="203"/>
      <c r="P175" s="239">
        <f>IF(NOT(ISERROR(MATCH(O175,_xlfn.ANCHORARRAY(#REF!),0))),N178&amp;"Por favor no seleccionar los criterios de impacto",O175)</f>
        <v>0</v>
      </c>
      <c r="Q175" s="205"/>
      <c r="R175" s="206"/>
      <c r="S175" s="207"/>
      <c r="T175" s="152">
        <v>5</v>
      </c>
      <c r="U175" s="160"/>
      <c r="V175" s="153" t="str">
        <f t="shared" si="320"/>
        <v/>
      </c>
      <c r="W175" s="154"/>
      <c r="X175" s="154"/>
      <c r="Y175" s="155" t="str">
        <f t="shared" si="315"/>
        <v/>
      </c>
      <c r="Z175" s="154"/>
      <c r="AA175" s="154"/>
      <c r="AB175" s="154"/>
      <c r="AC175" s="156" t="str">
        <f t="shared" si="321"/>
        <v/>
      </c>
      <c r="AD175" s="157" t="str">
        <f t="shared" si="316"/>
        <v/>
      </c>
      <c r="AE175" s="158" t="str">
        <f t="shared" si="317"/>
        <v/>
      </c>
      <c r="AF175" s="157" t="str">
        <f t="shared" si="318"/>
        <v/>
      </c>
      <c r="AG175" s="158" t="str">
        <f t="shared" si="322"/>
        <v/>
      </c>
      <c r="AH175" s="159" t="str">
        <f t="shared" ref="AH175:AH176" si="323">IFERROR(IF(OR(AND(AD175="Muy Baja",AF175="Leve"),AND(AD175="Muy Baja",AF175="Menor"),AND(AD175="Baja",AF175="Leve")),"Bajo",IF(OR(AND(AD175="Muy baja",AF175="Moderado"),AND(AD175="Baja",AF175="Menor"),AND(AD175="Baja",AF175="Moderado"),AND(AD175="Media",AF175="Leve"),AND(AD175="Media",AF175="Menor"),AND(AD175="Media",AF175="Moderado"),AND(AD175="Alta",AF175="Leve"),AND(AD175="Alta",AF175="Menor")),"Moderado",IF(OR(AND(AD175="Muy Baja",AF175="Mayor"),AND(AD175="Baja",AF175="Mayor"),AND(AD175="Media",AF175="Mayor"),AND(AD175="Alta",AF175="Moderado"),AND(AD175="Alta",AF175="Mayor"),AND(AD175="Muy Alta",AF175="Leve"),AND(AD175="Muy Alta",AF175="Menor"),AND(AD175="Muy Alta",AF175="Moderado"),AND(AD175="Muy Alta",AF175="Mayor")),"Alto",IF(OR(AND(AD175="Muy Baja",AF175="Catastrófico"),AND(AD175="Baja",AF175="Catastrófico"),AND(AD175="Media",AF175="Catastrófico"),AND(AD175="Alta",AF175="Catastrófico"),AND(AD175="Muy Alta",AF175="Catastrófico")),"Extremo","")))),"")</f>
        <v/>
      </c>
      <c r="AI175" s="161"/>
      <c r="AJ175" s="264"/>
      <c r="AK175" s="185"/>
      <c r="AL175" s="187"/>
      <c r="AM175" s="195"/>
      <c r="AN175" s="183"/>
      <c r="AO175" s="192"/>
      <c r="AP175" s="197"/>
    </row>
    <row r="176" spans="1:73" ht="15" customHeight="1" x14ac:dyDescent="0.2">
      <c r="A176" s="214"/>
      <c r="B176" s="243"/>
      <c r="C176" s="241"/>
      <c r="D176" s="183"/>
      <c r="E176" s="197"/>
      <c r="F176" s="197"/>
      <c r="G176" s="197"/>
      <c r="H176" s="289"/>
      <c r="I176" s="289"/>
      <c r="J176" s="217"/>
      <c r="K176" s="197"/>
      <c r="L176" s="185"/>
      <c r="M176" s="205"/>
      <c r="N176" s="206"/>
      <c r="O176" s="203"/>
      <c r="P176" s="239">
        <f>IF(NOT(ISERROR(MATCH(O176,_xlfn.ANCHORARRAY(#REF!),0))),N179&amp;"Por favor no seleccionar los criterios de impacto",O176)</f>
        <v>0</v>
      </c>
      <c r="Q176" s="205"/>
      <c r="R176" s="206"/>
      <c r="S176" s="207"/>
      <c r="T176" s="152">
        <v>6</v>
      </c>
      <c r="U176" s="160"/>
      <c r="V176" s="153" t="str">
        <f t="shared" si="320"/>
        <v/>
      </c>
      <c r="W176" s="154"/>
      <c r="X176" s="154"/>
      <c r="Y176" s="155" t="str">
        <f t="shared" si="315"/>
        <v/>
      </c>
      <c r="Z176" s="154"/>
      <c r="AA176" s="154"/>
      <c r="AB176" s="154"/>
      <c r="AC176" s="156" t="str">
        <f t="shared" si="321"/>
        <v/>
      </c>
      <c r="AD176" s="157" t="str">
        <f t="shared" si="316"/>
        <v/>
      </c>
      <c r="AE176" s="158" t="str">
        <f t="shared" si="317"/>
        <v/>
      </c>
      <c r="AF176" s="157" t="str">
        <f t="shared" si="318"/>
        <v/>
      </c>
      <c r="AG176" s="158" t="str">
        <f t="shared" si="322"/>
        <v/>
      </c>
      <c r="AH176" s="159" t="str">
        <f t="shared" si="323"/>
        <v/>
      </c>
      <c r="AI176" s="161"/>
      <c r="AJ176" s="196"/>
      <c r="AK176" s="185"/>
      <c r="AL176" s="187"/>
      <c r="AM176" s="195"/>
      <c r="AN176" s="183"/>
      <c r="AO176" s="192"/>
      <c r="AP176" s="197"/>
    </row>
    <row r="177" spans="1:73" ht="105.75" customHeight="1" x14ac:dyDescent="0.2">
      <c r="A177" s="214">
        <v>31</v>
      </c>
      <c r="B177" s="241" t="s">
        <v>246</v>
      </c>
      <c r="C177" s="241" t="s">
        <v>590</v>
      </c>
      <c r="D177" s="183" t="s">
        <v>267</v>
      </c>
      <c r="E177" s="181" t="s">
        <v>591</v>
      </c>
      <c r="F177" s="181" t="s">
        <v>592</v>
      </c>
      <c r="G177" s="181" t="s">
        <v>593</v>
      </c>
      <c r="H177" s="197" t="s">
        <v>594</v>
      </c>
      <c r="I177" s="242" t="s">
        <v>595</v>
      </c>
      <c r="J177" s="217" t="s">
        <v>230</v>
      </c>
      <c r="K177" s="183" t="s">
        <v>227</v>
      </c>
      <c r="L177" s="185">
        <v>12</v>
      </c>
      <c r="M177" s="205" t="str">
        <f t="shared" ref="M177" si="324">IF(L177&lt;=0,"",IF(L177&lt;=2,"Muy Baja",IF(L177&lt;=24,"Baja",IF(L177&lt;=500,"Media",IF(L177&lt;=5000,"Alta","Muy Alta")))))</f>
        <v>Baja</v>
      </c>
      <c r="N177" s="206">
        <f t="shared" ref="N177" si="325">IF(M177="","",IF(M177="Muy Baja",0.2,IF(M177="Baja",0.4,IF(M177="Media",0.6,IF(M177="Alta",0.8,IF(M177="Muy Alta",1,))))))</f>
        <v>0.4</v>
      </c>
      <c r="O177" s="203" t="s">
        <v>128</v>
      </c>
      <c r="P177" s="239" t="str">
        <f>IF(NOT(ISERROR(MATCH(O177,'Tabla Impacto'!$B$221:$B$223,0))),'Tabla Impacto'!$F$223&amp;"Por favor no seleccionar los criterios de impacto(Afectación Económica o presupuestal y Pérdida Reputacional)",O177)</f>
        <v xml:space="preserve">     Entre 50 y 100 SMLMV </v>
      </c>
      <c r="Q177" s="205" t="str">
        <f>IF(OR(P177='Tabla Impacto'!$C$11,P177='Tabla Impacto'!$D$11),"Leve",IF(OR(P177='Tabla Impacto'!$C$12,P177='Tabla Impacto'!$D$12),"Menor",IF(OR(P177='Tabla Impacto'!$C$13,P177='Tabla Impacto'!$D$13),"Moderado",IF(OR(P177='Tabla Impacto'!$C$14,P177='Tabla Impacto'!$D$14),"Mayor",IF(OR(P177='Tabla Impacto'!$C$15,P177='Tabla Impacto'!$D$15),"Catastrófico","")))))</f>
        <v>Moderado</v>
      </c>
      <c r="R177" s="206">
        <f t="shared" ref="R177" si="326">IF(Q177="","",IF(Q177="Leve",0.2,IF(Q177="Menor",0.4,IF(Q177="Moderado",0.6,IF(Q177="Mayor",0.8,IF(Q177="Catastrófico",1,))))))</f>
        <v>0.6</v>
      </c>
      <c r="S177" s="207" t="str">
        <f t="shared" ref="S177" si="327">IF(OR(AND(M177="Muy Baja",Q177="Leve"),AND(M177="Muy Baja",Q177="Menor"),AND(M177="Baja",Q177="Leve")),"Bajo",IF(OR(AND(M177="Muy baja",Q177="Moderado"),AND(M177="Baja",Q177="Menor"),AND(M177="Baja",Q177="Moderado"),AND(M177="Media",Q177="Leve"),AND(M177="Media",Q177="Menor"),AND(M177="Media",Q177="Moderado"),AND(M177="Alta",Q177="Leve"),AND(M177="Alta",Q177="Menor")),"Moderado",IF(OR(AND(M177="Muy Baja",Q177="Mayor"),AND(M177="Baja",Q177="Mayor"),AND(M177="Media",Q177="Mayor"),AND(M177="Alta",Q177="Moderado"),AND(M177="Alta",Q177="Mayor"),AND(M177="Muy Alta",Q177="Leve"),AND(M177="Muy Alta",Q177="Menor"),AND(M177="Muy Alta",Q177="Moderado"),AND(M177="Muy Alta",Q177="Mayor")),"Alto",IF(OR(AND(M177="Muy Baja",Q177="Catastrófico"),AND(M177="Baja",Q177="Catastrófico"),AND(M177="Media",Q177="Catastrófico"),AND(M177="Alta",Q177="Catastrófico"),AND(M177="Muy Alta",Q177="Catastrófico")),"Extremo",""))))</f>
        <v>Moderado</v>
      </c>
      <c r="T177" s="152">
        <v>1</v>
      </c>
      <c r="U177" s="166" t="s">
        <v>616</v>
      </c>
      <c r="V177" s="153" t="str">
        <f>IF(OR(W177="Preventivo",W177="Detectivo"),"Probabilidad",IF(W177="Correctivo","Impacto",""))</f>
        <v>Probabilidad</v>
      </c>
      <c r="W177" s="154" t="s">
        <v>13</v>
      </c>
      <c r="X177" s="154" t="s">
        <v>8</v>
      </c>
      <c r="Y177" s="155" t="str">
        <f>IF(AND(W177="Preventivo",X177="Automático"),"50%",IF(AND(W177="Preventivo",X177="Manual"),"40%",IF(AND(W177="Detectivo",X177="Automático"),"40%",IF(AND(W177="Detectivo",X177="Manual"),"30%",IF(AND(W177="Correctivo",X177="Automático"),"35%",IF(AND(W177="Correctivo",X177="Manual"),"25%",""))))))</f>
        <v>40%</v>
      </c>
      <c r="Z177" s="154" t="s">
        <v>18</v>
      </c>
      <c r="AA177" s="154" t="s">
        <v>21</v>
      </c>
      <c r="AB177" s="154" t="s">
        <v>112</v>
      </c>
      <c r="AC177" s="156">
        <f>IFERROR(IF(V177="Probabilidad",(N177-(+N177*Y177)),IF(V177="Impacto",N177,"")),"")</f>
        <v>0.24</v>
      </c>
      <c r="AD177" s="157" t="str">
        <f>IFERROR(IF(AC177="","",IF(AC177&lt;=0.2,"Muy Baja",IF(AC177&lt;=0.4,"Baja",IF(AC177&lt;=0.6,"Media",IF(AC177&lt;=0.8,"Alta","Muy Alta"))))),"")</f>
        <v>Baja</v>
      </c>
      <c r="AE177" s="158">
        <f>+AC177</f>
        <v>0.24</v>
      </c>
      <c r="AF177" s="157" t="str">
        <f>IFERROR(IF(AG177="","",IF(AG177&lt;=0.2,"Leve",IF(AG177&lt;=0.4,"Menor",IF(AG177&lt;=0.6,"Moderado",IF(AG177&lt;=0.8,"Mayor","Catastrófico"))))),"")</f>
        <v>Moderado</v>
      </c>
      <c r="AG177" s="158">
        <f>IFERROR(IF(V177="Impacto",(R177-(+R177*Y177)),IF(V177="Probabilidad",R177,"")),"")</f>
        <v>0.6</v>
      </c>
      <c r="AH177" s="159" t="str">
        <f>IFERROR(IF(OR(AND(AD177="Muy Baja",AF177="Leve"),AND(AD177="Muy Baja",AF177="Menor"),AND(AD177="Baja",AF177="Leve")),"Bajo",IF(OR(AND(AD177="Muy baja",AF177="Moderado"),AND(AD177="Baja",AF177="Menor"),AND(AD177="Baja",AF177="Moderado"),AND(AD177="Media",AF177="Leve"),AND(AD177="Media",AF177="Menor"),AND(AD177="Media",AF177="Moderado"),AND(AD177="Alta",AF177="Leve"),AND(AD177="Alta",AF177="Menor")),"Moderado",IF(OR(AND(AD177="Muy Baja",AF177="Mayor"),AND(AD177="Baja",AF177="Mayor"),AND(AD177="Media",AF177="Mayor"),AND(AD177="Alta",AF177="Moderado"),AND(AD177="Alta",AF177="Mayor"),AND(AD177="Muy Alta",AF177="Leve"),AND(AD177="Muy Alta",AF177="Menor"),AND(AD177="Muy Alta",AF177="Moderado"),AND(AD177="Muy Alta",AF177="Mayor")),"Alto",IF(OR(AND(AD177="Muy Baja",AF177="Catastrófico"),AND(AD177="Baja",AF177="Catastrófico"),AND(AD177="Media",AF177="Catastrófico"),AND(AD177="Alta",AF177="Catastrófico"),AND(AD177="Muy Alta",AF177="Catastrófico")),"Extremo","")))),"")</f>
        <v>Moderado</v>
      </c>
      <c r="AI177" s="161" t="s">
        <v>117</v>
      </c>
      <c r="AJ177" s="197" t="s">
        <v>625</v>
      </c>
      <c r="AK177" s="185" t="s">
        <v>194</v>
      </c>
      <c r="AL177" s="187">
        <v>45387</v>
      </c>
      <c r="AM177" s="195">
        <v>45464</v>
      </c>
      <c r="AN177" s="183" t="s">
        <v>284</v>
      </c>
      <c r="AO177" s="192" t="s">
        <v>269</v>
      </c>
      <c r="AP177" s="290" t="s">
        <v>626</v>
      </c>
      <c r="AQ177" s="10"/>
      <c r="AR177" s="10"/>
      <c r="AS177" s="10"/>
      <c r="AT177" s="10"/>
      <c r="AU177" s="10"/>
      <c r="AV177" s="10"/>
      <c r="AW177" s="10"/>
      <c r="AX177" s="10"/>
      <c r="AY177" s="10"/>
      <c r="AZ177" s="10"/>
      <c r="BA177" s="10"/>
      <c r="BB177" s="10"/>
      <c r="BC177" s="10"/>
      <c r="BD177" s="10"/>
      <c r="BE177" s="10"/>
      <c r="BF177" s="10"/>
      <c r="BG177" s="10"/>
      <c r="BH177" s="10"/>
      <c r="BI177" s="10"/>
      <c r="BJ177" s="10"/>
      <c r="BK177" s="10"/>
      <c r="BL177" s="10"/>
      <c r="BM177" s="10"/>
      <c r="BN177" s="10"/>
      <c r="BO177" s="10"/>
      <c r="BP177" s="10"/>
      <c r="BQ177" s="10"/>
      <c r="BR177" s="10"/>
      <c r="BS177" s="10"/>
      <c r="BT177" s="10"/>
      <c r="BU177" s="10"/>
    </row>
    <row r="178" spans="1:73" ht="156.75" x14ac:dyDescent="0.2">
      <c r="A178" s="214"/>
      <c r="B178" s="241"/>
      <c r="C178" s="241"/>
      <c r="D178" s="183"/>
      <c r="E178" s="181"/>
      <c r="F178" s="181"/>
      <c r="G178" s="181"/>
      <c r="H178" s="197"/>
      <c r="I178" s="242"/>
      <c r="J178" s="217"/>
      <c r="K178" s="183"/>
      <c r="L178" s="185"/>
      <c r="M178" s="205"/>
      <c r="N178" s="206"/>
      <c r="O178" s="203"/>
      <c r="P178" s="239">
        <f>IF(NOT(ISERROR(MATCH(O178,_xlfn.ANCHORARRAY(#REF!),0))),#REF!&amp;"Por favor no seleccionar los criterios de impacto",O178)</f>
        <v>0</v>
      </c>
      <c r="Q178" s="205"/>
      <c r="R178" s="206"/>
      <c r="S178" s="207"/>
      <c r="T178" s="152">
        <v>2</v>
      </c>
      <c r="U178" s="166" t="s">
        <v>617</v>
      </c>
      <c r="V178" s="153" t="str">
        <f>IF(OR(W178="Preventivo",W178="Detectivo"),"Probabilidad",IF(W178="Correctivo","Impacto",""))</f>
        <v>Probabilidad</v>
      </c>
      <c r="W178" s="154" t="s">
        <v>13</v>
      </c>
      <c r="X178" s="154" t="s">
        <v>9</v>
      </c>
      <c r="Y178" s="155" t="str">
        <f t="shared" ref="Y178:Y182" si="328">IF(AND(W178="Preventivo",X178="Automático"),"50%",IF(AND(W178="Preventivo",X178="Manual"),"40%",IF(AND(W178="Detectivo",X178="Automático"),"40%",IF(AND(W178="Detectivo",X178="Manual"),"30%",IF(AND(W178="Correctivo",X178="Automático"),"35%",IF(AND(W178="Correctivo",X178="Manual"),"25%",""))))))</f>
        <v>50%</v>
      </c>
      <c r="Z178" s="154" t="s">
        <v>18</v>
      </c>
      <c r="AA178" s="154" t="s">
        <v>21</v>
      </c>
      <c r="AB178" s="154" t="s">
        <v>112</v>
      </c>
      <c r="AC178" s="156">
        <f>IFERROR(IF(AND(V177="Probabilidad",V178="Probabilidad"),(AE177-(+AE177*Y178)),IF(V178="Probabilidad",(N177-(+N177*Y178)),IF(V178="Impacto",AE177,""))),"")</f>
        <v>0.12</v>
      </c>
      <c r="AD178" s="157" t="str">
        <f t="shared" ref="AD178:AD182" si="329">IFERROR(IF(AC178="","",IF(AC178&lt;=0.2,"Muy Baja",IF(AC178&lt;=0.4,"Baja",IF(AC178&lt;=0.6,"Media",IF(AC178&lt;=0.8,"Alta","Muy Alta"))))),"")</f>
        <v>Muy Baja</v>
      </c>
      <c r="AE178" s="158">
        <f t="shared" ref="AE178:AE182" si="330">+AC178</f>
        <v>0.12</v>
      </c>
      <c r="AF178" s="157" t="str">
        <f t="shared" ref="AF178:AF182" si="331">IFERROR(IF(AG178="","",IF(AG178&lt;=0.2,"Leve",IF(AG178&lt;=0.4,"Menor",IF(AG178&lt;=0.6,"Moderado",IF(AG178&lt;=0.8,"Mayor","Catastrófico"))))),"")</f>
        <v>Moderado</v>
      </c>
      <c r="AG178" s="158">
        <f>IFERROR(IF(AND(V177="Impacto",V178="Impacto"),(AG177-(+AG177*Y178)),IF(V178="Impacto",(R177-(+R177*Y178)),IF(V178="Probabilidad",AG177,""))),"")</f>
        <v>0.6</v>
      </c>
      <c r="AH178" s="159" t="str">
        <f t="shared" ref="AH178:AH179" si="332">IFERROR(IF(OR(AND(AD178="Muy Baja",AF178="Leve"),AND(AD178="Muy Baja",AF178="Menor"),AND(AD178="Baja",AF178="Leve")),"Bajo",IF(OR(AND(AD178="Muy baja",AF178="Moderado"),AND(AD178="Baja",AF178="Menor"),AND(AD178="Baja",AF178="Moderado"),AND(AD178="Media",AF178="Leve"),AND(AD178="Media",AF178="Menor"),AND(AD178="Media",AF178="Moderado"),AND(AD178="Alta",AF178="Leve"),AND(AD178="Alta",AF178="Menor")),"Moderado",IF(OR(AND(AD178="Muy Baja",AF178="Mayor"),AND(AD178="Baja",AF178="Mayor"),AND(AD178="Media",AF178="Mayor"),AND(AD178="Alta",AF178="Moderado"),AND(AD178="Alta",AF178="Mayor"),AND(AD178="Muy Alta",AF178="Leve"),AND(AD178="Muy Alta",AF178="Menor"),AND(AD178="Muy Alta",AF178="Moderado"),AND(AD178="Muy Alta",AF178="Mayor")),"Alto",IF(OR(AND(AD178="Muy Baja",AF178="Catastrófico"),AND(AD178="Baja",AF178="Catastrófico"),AND(AD178="Media",AF178="Catastrófico"),AND(AD178="Alta",AF178="Catastrófico"),AND(AD178="Muy Alta",AF178="Catastrófico")),"Extremo","")))),"")</f>
        <v>Moderado</v>
      </c>
      <c r="AI178" s="161" t="s">
        <v>117</v>
      </c>
      <c r="AJ178" s="197"/>
      <c r="AK178" s="185"/>
      <c r="AL178" s="187"/>
      <c r="AM178" s="195"/>
      <c r="AN178" s="183"/>
      <c r="AO178" s="192"/>
      <c r="AP178" s="290"/>
    </row>
    <row r="179" spans="1:73" ht="15" customHeight="1" x14ac:dyDescent="0.2">
      <c r="A179" s="214"/>
      <c r="B179" s="241"/>
      <c r="C179" s="241"/>
      <c r="D179" s="183"/>
      <c r="E179" s="181"/>
      <c r="F179" s="181"/>
      <c r="G179" s="181"/>
      <c r="H179" s="197"/>
      <c r="I179" s="242"/>
      <c r="J179" s="217"/>
      <c r="K179" s="183"/>
      <c r="L179" s="185"/>
      <c r="M179" s="205"/>
      <c r="N179" s="206"/>
      <c r="O179" s="203"/>
      <c r="P179" s="239">
        <f>IF(NOT(ISERROR(MATCH(O179,_xlfn.ANCHORARRAY(#REF!),0))),#REF!&amp;"Por favor no seleccionar los criterios de impacto",O179)</f>
        <v>0</v>
      </c>
      <c r="Q179" s="205"/>
      <c r="R179" s="206"/>
      <c r="S179" s="207"/>
      <c r="T179" s="152">
        <v>3</v>
      </c>
      <c r="U179" s="166"/>
      <c r="V179" s="153" t="str">
        <f>IF(OR(W179="Preventivo",W179="Detectivo"),"Probabilidad",IF(W179="Correctivo","Impacto",""))</f>
        <v/>
      </c>
      <c r="W179" s="154"/>
      <c r="X179" s="154"/>
      <c r="Y179" s="155" t="str">
        <f t="shared" si="328"/>
        <v/>
      </c>
      <c r="Z179" s="154"/>
      <c r="AA179" s="154"/>
      <c r="AB179" s="154"/>
      <c r="AC179" s="156" t="str">
        <f>IFERROR(IF(AND(V178="Probabilidad",V179="Probabilidad"),(AE178-(+AE178*Y179)),IF(AND(V178="Impacto",V179="Probabilidad"),(AE177-(+AE177*Y179)),IF(V179="Impacto",AE178,""))),"")</f>
        <v/>
      </c>
      <c r="AD179" s="157" t="str">
        <f t="shared" si="329"/>
        <v/>
      </c>
      <c r="AE179" s="158" t="str">
        <f t="shared" si="330"/>
        <v/>
      </c>
      <c r="AF179" s="157" t="str">
        <f t="shared" si="331"/>
        <v/>
      </c>
      <c r="AG179" s="158" t="str">
        <f>IFERROR(IF(AND(V178="Impacto",V179="Impacto"),(AG178-(+AG178*Y179)),IF(AND(V178="Probabilidad",V179="Impacto"),(AG177-(+AG177*Y179)),IF(V179="Probabilidad",AG178,""))),"")</f>
        <v/>
      </c>
      <c r="AH179" s="159" t="str">
        <f t="shared" si="332"/>
        <v/>
      </c>
      <c r="AI179" s="161"/>
      <c r="AJ179" s="197"/>
      <c r="AK179" s="185"/>
      <c r="AL179" s="187"/>
      <c r="AM179" s="195"/>
      <c r="AN179" s="183"/>
      <c r="AO179" s="192"/>
      <c r="AP179" s="290"/>
    </row>
    <row r="180" spans="1:73" ht="15" customHeight="1" x14ac:dyDescent="0.2">
      <c r="A180" s="214"/>
      <c r="B180" s="241"/>
      <c r="C180" s="241"/>
      <c r="D180" s="183"/>
      <c r="E180" s="181"/>
      <c r="F180" s="181"/>
      <c r="G180" s="181"/>
      <c r="H180" s="197"/>
      <c r="I180" s="242"/>
      <c r="J180" s="217"/>
      <c r="K180" s="183"/>
      <c r="L180" s="185"/>
      <c r="M180" s="205"/>
      <c r="N180" s="206"/>
      <c r="O180" s="203"/>
      <c r="P180" s="239">
        <f>IF(NOT(ISERROR(MATCH(O180,_xlfn.ANCHORARRAY(#REF!),0))),#REF!&amp;"Por favor no seleccionar los criterios de impacto",O180)</f>
        <v>0</v>
      </c>
      <c r="Q180" s="205"/>
      <c r="R180" s="206"/>
      <c r="S180" s="207"/>
      <c r="T180" s="152">
        <v>4</v>
      </c>
      <c r="U180" s="160"/>
      <c r="V180" s="153" t="str">
        <f t="shared" ref="V180:V182" si="333">IF(OR(W180="Preventivo",W180="Detectivo"),"Probabilidad",IF(W180="Correctivo","Impacto",""))</f>
        <v/>
      </c>
      <c r="W180" s="154"/>
      <c r="X180" s="154"/>
      <c r="Y180" s="155" t="str">
        <f t="shared" si="328"/>
        <v/>
      </c>
      <c r="Z180" s="154"/>
      <c r="AA180" s="154"/>
      <c r="AB180" s="154"/>
      <c r="AC180" s="156" t="str">
        <f t="shared" ref="AC180:AC182" si="334">IFERROR(IF(AND(V179="Probabilidad",V180="Probabilidad"),(AE179-(+AE179*Y180)),IF(AND(V179="Impacto",V180="Probabilidad"),(AE178-(+AE178*Y180)),IF(V180="Impacto",AE179,""))),"")</f>
        <v/>
      </c>
      <c r="AD180" s="157" t="str">
        <f t="shared" si="329"/>
        <v/>
      </c>
      <c r="AE180" s="158" t="str">
        <f t="shared" si="330"/>
        <v/>
      </c>
      <c r="AF180" s="157" t="str">
        <f t="shared" si="331"/>
        <v/>
      </c>
      <c r="AG180" s="158" t="str">
        <f t="shared" ref="AG180:AG182" si="335">IFERROR(IF(AND(V179="Impacto",V180="Impacto"),(AG179-(+AG179*Y180)),IF(AND(V179="Probabilidad",V180="Impacto"),(AG178-(+AG178*Y180)),IF(V180="Probabilidad",AG179,""))),"")</f>
        <v/>
      </c>
      <c r="AH180" s="159" t="str">
        <f>IFERROR(IF(OR(AND(AD180="Muy Baja",AF180="Leve"),AND(AD180="Muy Baja",AF180="Menor"),AND(AD180="Baja",AF180="Leve")),"Bajo",IF(OR(AND(AD180="Muy baja",AF180="Moderado"),AND(AD180="Baja",AF180="Menor"),AND(AD180="Baja",AF180="Moderado"),AND(AD180="Media",AF180="Leve"),AND(AD180="Media",AF180="Menor"),AND(AD180="Media",AF180="Moderado"),AND(AD180="Alta",AF180="Leve"),AND(AD180="Alta",AF180="Menor")),"Moderado",IF(OR(AND(AD180="Muy Baja",AF180="Mayor"),AND(AD180="Baja",AF180="Mayor"),AND(AD180="Media",AF180="Mayor"),AND(AD180="Alta",AF180="Moderado"),AND(AD180="Alta",AF180="Mayor"),AND(AD180="Muy Alta",AF180="Leve"),AND(AD180="Muy Alta",AF180="Menor"),AND(AD180="Muy Alta",AF180="Moderado"),AND(AD180="Muy Alta",AF180="Mayor")),"Alto",IF(OR(AND(AD180="Muy Baja",AF180="Catastrófico"),AND(AD180="Baja",AF180="Catastrófico"),AND(AD180="Media",AF180="Catastrófico"),AND(AD180="Alta",AF180="Catastrófico"),AND(AD180="Muy Alta",AF180="Catastrófico")),"Extremo","")))),"")</f>
        <v/>
      </c>
      <c r="AI180" s="161"/>
      <c r="AJ180" s="197"/>
      <c r="AK180" s="185"/>
      <c r="AL180" s="187"/>
      <c r="AM180" s="195"/>
      <c r="AN180" s="183"/>
      <c r="AO180" s="192"/>
      <c r="AP180" s="290"/>
    </row>
    <row r="181" spans="1:73" ht="15" customHeight="1" x14ac:dyDescent="0.2">
      <c r="A181" s="214"/>
      <c r="B181" s="241"/>
      <c r="C181" s="241"/>
      <c r="D181" s="183"/>
      <c r="E181" s="181"/>
      <c r="F181" s="181"/>
      <c r="G181" s="181"/>
      <c r="H181" s="197"/>
      <c r="I181" s="242"/>
      <c r="J181" s="217"/>
      <c r="K181" s="183"/>
      <c r="L181" s="185"/>
      <c r="M181" s="205"/>
      <c r="N181" s="206"/>
      <c r="O181" s="203"/>
      <c r="P181" s="239">
        <f>IF(NOT(ISERROR(MATCH(O181,_xlfn.ANCHORARRAY(#REF!),0))),N184&amp;"Por favor no seleccionar los criterios de impacto",O181)</f>
        <v>0</v>
      </c>
      <c r="Q181" s="205"/>
      <c r="R181" s="206"/>
      <c r="S181" s="207"/>
      <c r="T181" s="152">
        <v>5</v>
      </c>
      <c r="U181" s="160"/>
      <c r="V181" s="153" t="str">
        <f t="shared" si="333"/>
        <v/>
      </c>
      <c r="W181" s="154"/>
      <c r="X181" s="154"/>
      <c r="Y181" s="155" t="str">
        <f t="shared" si="328"/>
        <v/>
      </c>
      <c r="Z181" s="154"/>
      <c r="AA181" s="154"/>
      <c r="AB181" s="154"/>
      <c r="AC181" s="156" t="str">
        <f t="shared" si="334"/>
        <v/>
      </c>
      <c r="AD181" s="157" t="str">
        <f t="shared" si="329"/>
        <v/>
      </c>
      <c r="AE181" s="158" t="str">
        <f t="shared" si="330"/>
        <v/>
      </c>
      <c r="AF181" s="157" t="str">
        <f t="shared" si="331"/>
        <v/>
      </c>
      <c r="AG181" s="158" t="str">
        <f t="shared" si="335"/>
        <v/>
      </c>
      <c r="AH181" s="159" t="str">
        <f t="shared" ref="AH181:AH182" si="336">IFERROR(IF(OR(AND(AD181="Muy Baja",AF181="Leve"),AND(AD181="Muy Baja",AF181="Menor"),AND(AD181="Baja",AF181="Leve")),"Bajo",IF(OR(AND(AD181="Muy baja",AF181="Moderado"),AND(AD181="Baja",AF181="Menor"),AND(AD181="Baja",AF181="Moderado"),AND(AD181="Media",AF181="Leve"),AND(AD181="Media",AF181="Menor"),AND(AD181="Media",AF181="Moderado"),AND(AD181="Alta",AF181="Leve"),AND(AD181="Alta",AF181="Menor")),"Moderado",IF(OR(AND(AD181="Muy Baja",AF181="Mayor"),AND(AD181="Baja",AF181="Mayor"),AND(AD181="Media",AF181="Mayor"),AND(AD181="Alta",AF181="Moderado"),AND(AD181="Alta",AF181="Mayor"),AND(AD181="Muy Alta",AF181="Leve"),AND(AD181="Muy Alta",AF181="Menor"),AND(AD181="Muy Alta",AF181="Moderado"),AND(AD181="Muy Alta",AF181="Mayor")),"Alto",IF(OR(AND(AD181="Muy Baja",AF181="Catastrófico"),AND(AD181="Baja",AF181="Catastrófico"),AND(AD181="Media",AF181="Catastrófico"),AND(AD181="Alta",AF181="Catastrófico"),AND(AD181="Muy Alta",AF181="Catastrófico")),"Extremo","")))),"")</f>
        <v/>
      </c>
      <c r="AI181" s="161"/>
      <c r="AJ181" s="197"/>
      <c r="AK181" s="185"/>
      <c r="AL181" s="187"/>
      <c r="AM181" s="195"/>
      <c r="AN181" s="183"/>
      <c r="AO181" s="192"/>
      <c r="AP181" s="290"/>
    </row>
    <row r="182" spans="1:73" ht="15" customHeight="1" x14ac:dyDescent="0.2">
      <c r="A182" s="214"/>
      <c r="B182" s="241"/>
      <c r="C182" s="241"/>
      <c r="D182" s="183"/>
      <c r="E182" s="181"/>
      <c r="F182" s="181"/>
      <c r="G182" s="181"/>
      <c r="H182" s="197"/>
      <c r="I182" s="242"/>
      <c r="J182" s="217"/>
      <c r="K182" s="183"/>
      <c r="L182" s="185"/>
      <c r="M182" s="205"/>
      <c r="N182" s="206"/>
      <c r="O182" s="203"/>
      <c r="P182" s="239">
        <f>IF(NOT(ISERROR(MATCH(O182,_xlfn.ANCHORARRAY(#REF!),0))),N185&amp;"Por favor no seleccionar los criterios de impacto",O182)</f>
        <v>0</v>
      </c>
      <c r="Q182" s="205"/>
      <c r="R182" s="206"/>
      <c r="S182" s="207"/>
      <c r="T182" s="152">
        <v>6</v>
      </c>
      <c r="U182" s="160"/>
      <c r="V182" s="153" t="str">
        <f t="shared" si="333"/>
        <v/>
      </c>
      <c r="W182" s="154"/>
      <c r="X182" s="154"/>
      <c r="Y182" s="155" t="str">
        <f t="shared" si="328"/>
        <v/>
      </c>
      <c r="Z182" s="154"/>
      <c r="AA182" s="154"/>
      <c r="AB182" s="154"/>
      <c r="AC182" s="156" t="str">
        <f t="shared" si="334"/>
        <v/>
      </c>
      <c r="AD182" s="157" t="str">
        <f t="shared" si="329"/>
        <v/>
      </c>
      <c r="AE182" s="158" t="str">
        <f t="shared" si="330"/>
        <v/>
      </c>
      <c r="AF182" s="157" t="str">
        <f t="shared" si="331"/>
        <v/>
      </c>
      <c r="AG182" s="158" t="str">
        <f t="shared" si="335"/>
        <v/>
      </c>
      <c r="AH182" s="159" t="str">
        <f t="shared" si="336"/>
        <v/>
      </c>
      <c r="AI182" s="161"/>
      <c r="AJ182" s="197"/>
      <c r="AK182" s="185"/>
      <c r="AL182" s="187"/>
      <c r="AM182" s="195"/>
      <c r="AN182" s="183"/>
      <c r="AO182" s="192"/>
      <c r="AP182" s="290"/>
    </row>
    <row r="183" spans="1:73" ht="99" customHeight="1" x14ac:dyDescent="0.2">
      <c r="A183" s="214">
        <v>32</v>
      </c>
      <c r="B183" s="241" t="s">
        <v>246</v>
      </c>
      <c r="C183" s="241" t="s">
        <v>590</v>
      </c>
      <c r="D183" s="183" t="s">
        <v>267</v>
      </c>
      <c r="E183" s="181" t="s">
        <v>596</v>
      </c>
      <c r="F183" s="181" t="s">
        <v>597</v>
      </c>
      <c r="G183" s="181" t="s">
        <v>598</v>
      </c>
      <c r="H183" s="197" t="s">
        <v>599</v>
      </c>
      <c r="I183" s="242" t="s">
        <v>600</v>
      </c>
      <c r="J183" s="217" t="s">
        <v>238</v>
      </c>
      <c r="K183" s="183" t="s">
        <v>242</v>
      </c>
      <c r="L183" s="185">
        <v>1</v>
      </c>
      <c r="M183" s="205" t="str">
        <f t="shared" ref="M183" si="337">IF(L183&lt;=0,"",IF(L183&lt;=2,"Muy Baja",IF(L183&lt;=24,"Baja",IF(L183&lt;=500,"Media",IF(L183&lt;=5000,"Alta","Muy Alta")))))</f>
        <v>Muy Baja</v>
      </c>
      <c r="N183" s="206">
        <f t="shared" ref="N183" si="338">IF(M183="","",IF(M183="Muy Baja",0.2,IF(M183="Baja",0.4,IF(M183="Media",0.6,IF(M183="Alta",0.8,IF(M183="Muy Alta",1,))))))</f>
        <v>0.2</v>
      </c>
      <c r="O183" s="203" t="s">
        <v>128</v>
      </c>
      <c r="P183" s="239" t="str">
        <f>IF(NOT(ISERROR(MATCH(O183,'Tabla Impacto'!$B$221:$B$223,0))),'Tabla Impacto'!$F$223&amp;"Por favor no seleccionar los criterios de impacto(Afectación Económica o presupuestal y Pérdida Reputacional)",O183)</f>
        <v xml:space="preserve">     Entre 50 y 100 SMLMV </v>
      </c>
      <c r="Q183" s="205" t="str">
        <f>IF(OR(P183='Tabla Impacto'!$C$11,P183='Tabla Impacto'!$D$11),"Leve",IF(OR(P183='Tabla Impacto'!$C$12,P183='Tabla Impacto'!$D$12),"Menor",IF(OR(P183='Tabla Impacto'!$C$13,P183='Tabla Impacto'!$D$13),"Moderado",IF(OR(P183='Tabla Impacto'!$C$14,P183='Tabla Impacto'!$D$14),"Mayor",IF(OR(P183='Tabla Impacto'!$C$15,P183='Tabla Impacto'!$D$15),"Catastrófico","")))))</f>
        <v>Moderado</v>
      </c>
      <c r="R183" s="206">
        <f t="shared" ref="R183" si="339">IF(Q183="","",IF(Q183="Leve",0.2,IF(Q183="Menor",0.4,IF(Q183="Moderado",0.6,IF(Q183="Mayor",0.8,IF(Q183="Catastrófico",1,))))))</f>
        <v>0.6</v>
      </c>
      <c r="S183" s="207" t="str">
        <f t="shared" ref="S183" si="340">IF(OR(AND(M183="Muy Baja",Q183="Leve"),AND(M183="Muy Baja",Q183="Menor"),AND(M183="Baja",Q183="Leve")),"Bajo",IF(OR(AND(M183="Muy baja",Q183="Moderado"),AND(M183="Baja",Q183="Menor"),AND(M183="Baja",Q183="Moderado"),AND(M183="Media",Q183="Leve"),AND(M183="Media",Q183="Menor"),AND(M183="Media",Q183="Moderado"),AND(M183="Alta",Q183="Leve"),AND(M183="Alta",Q183="Menor")),"Moderado",IF(OR(AND(M183="Muy Baja",Q183="Mayor"),AND(M183="Baja",Q183="Mayor"),AND(M183="Media",Q183="Mayor"),AND(M183="Alta",Q183="Moderado"),AND(M183="Alta",Q183="Mayor"),AND(M183="Muy Alta",Q183="Leve"),AND(M183="Muy Alta",Q183="Menor"),AND(M183="Muy Alta",Q183="Moderado"),AND(M183="Muy Alta",Q183="Mayor")),"Alto",IF(OR(AND(M183="Muy Baja",Q183="Catastrófico"),AND(M183="Baja",Q183="Catastrófico"),AND(M183="Media",Q183="Catastrófico"),AND(M183="Alta",Q183="Catastrófico"),AND(M183="Muy Alta",Q183="Catastrófico")),"Extremo",""))))</f>
        <v>Moderado</v>
      </c>
      <c r="T183" s="152">
        <v>1</v>
      </c>
      <c r="U183" s="166" t="s">
        <v>618</v>
      </c>
      <c r="V183" s="153" t="str">
        <f>IF(OR(W183="Preventivo",W183="Detectivo"),"Probabilidad",IF(W183="Correctivo","Impacto",""))</f>
        <v>Probabilidad</v>
      </c>
      <c r="W183" s="154" t="s">
        <v>13</v>
      </c>
      <c r="X183" s="154" t="s">
        <v>8</v>
      </c>
      <c r="Y183" s="155" t="str">
        <f>IF(AND(W183="Preventivo",X183="Automático"),"50%",IF(AND(W183="Preventivo",X183="Manual"),"40%",IF(AND(W183="Detectivo",X183="Automático"),"40%",IF(AND(W183="Detectivo",X183="Manual"),"30%",IF(AND(W183="Correctivo",X183="Automático"),"35%",IF(AND(W183="Correctivo",X183="Manual"),"25%",""))))))</f>
        <v>40%</v>
      </c>
      <c r="Z183" s="154" t="s">
        <v>18</v>
      </c>
      <c r="AA183" s="154" t="s">
        <v>21</v>
      </c>
      <c r="AB183" s="154" t="s">
        <v>112</v>
      </c>
      <c r="AC183" s="156">
        <f>IFERROR(IF(V183="Probabilidad",(N183-(+N183*Y183)),IF(V183="Impacto",N183,"")),"")</f>
        <v>0.12</v>
      </c>
      <c r="AD183" s="157" t="str">
        <f>IFERROR(IF(AC183="","",IF(AC183&lt;=0.2,"Muy Baja",IF(AC183&lt;=0.4,"Baja",IF(AC183&lt;=0.6,"Media",IF(AC183&lt;=0.8,"Alta","Muy Alta"))))),"")</f>
        <v>Muy Baja</v>
      </c>
      <c r="AE183" s="158">
        <f>+AC183</f>
        <v>0.12</v>
      </c>
      <c r="AF183" s="157" t="str">
        <f>IFERROR(IF(AG183="","",IF(AG183&lt;=0.2,"Leve",IF(AG183&lt;=0.4,"Menor",IF(AG183&lt;=0.6,"Moderado",IF(AG183&lt;=0.8,"Mayor","Catastrófico"))))),"")</f>
        <v>Moderado</v>
      </c>
      <c r="AG183" s="158">
        <f>IFERROR(IF(V183="Impacto",(R183-(+R183*Y183)),IF(V183="Probabilidad",R183,"")),"")</f>
        <v>0.6</v>
      </c>
      <c r="AH183" s="159" t="str">
        <f>IFERROR(IF(OR(AND(AD183="Muy Baja",AF183="Leve"),AND(AD183="Muy Baja",AF183="Menor"),AND(AD183="Baja",AF183="Leve")),"Bajo",IF(OR(AND(AD183="Muy baja",AF183="Moderado"),AND(AD183="Baja",AF183="Menor"),AND(AD183="Baja",AF183="Moderado"),AND(AD183="Media",AF183="Leve"),AND(AD183="Media",AF183="Menor"),AND(AD183="Media",AF183="Moderado"),AND(AD183="Alta",AF183="Leve"),AND(AD183="Alta",AF183="Menor")),"Moderado",IF(OR(AND(AD183="Muy Baja",AF183="Mayor"),AND(AD183="Baja",AF183="Mayor"),AND(AD183="Media",AF183="Mayor"),AND(AD183="Alta",AF183="Moderado"),AND(AD183="Alta",AF183="Mayor"),AND(AD183="Muy Alta",AF183="Leve"),AND(AD183="Muy Alta",AF183="Menor"),AND(AD183="Muy Alta",AF183="Moderado"),AND(AD183="Muy Alta",AF183="Mayor")),"Alto",IF(OR(AND(AD183="Muy Baja",AF183="Catastrófico"),AND(AD183="Baja",AF183="Catastrófico"),AND(AD183="Media",AF183="Catastrófico"),AND(AD183="Alta",AF183="Catastrófico"),AND(AD183="Muy Alta",AF183="Catastrófico")),"Extremo","")))),"")</f>
        <v>Moderado</v>
      </c>
      <c r="AI183" s="161" t="s">
        <v>29</v>
      </c>
      <c r="AJ183" s="197" t="s">
        <v>627</v>
      </c>
      <c r="AK183" s="185" t="s">
        <v>194</v>
      </c>
      <c r="AL183" s="187">
        <v>45293</v>
      </c>
      <c r="AM183" s="195">
        <v>45657</v>
      </c>
      <c r="AN183" s="183" t="s">
        <v>284</v>
      </c>
      <c r="AO183" s="192" t="s">
        <v>269</v>
      </c>
      <c r="AP183" s="290" t="s">
        <v>628</v>
      </c>
      <c r="AQ183" s="10"/>
      <c r="AR183" s="10"/>
      <c r="AS183" s="10"/>
      <c r="AT183" s="10"/>
      <c r="AU183" s="10"/>
      <c r="AV183" s="10"/>
      <c r="AW183" s="10"/>
      <c r="AX183" s="10"/>
      <c r="AY183" s="10"/>
      <c r="AZ183" s="10"/>
      <c r="BA183" s="10"/>
      <c r="BB183" s="10"/>
      <c r="BC183" s="10"/>
      <c r="BD183" s="10"/>
      <c r="BE183" s="10"/>
      <c r="BF183" s="10"/>
      <c r="BG183" s="10"/>
      <c r="BH183" s="10"/>
      <c r="BI183" s="10"/>
      <c r="BJ183" s="10"/>
      <c r="BK183" s="10"/>
      <c r="BL183" s="10"/>
      <c r="BM183" s="10"/>
      <c r="BN183" s="10"/>
      <c r="BO183" s="10"/>
      <c r="BP183" s="10"/>
      <c r="BQ183" s="10"/>
      <c r="BR183" s="10"/>
      <c r="BS183" s="10"/>
      <c r="BT183" s="10"/>
      <c r="BU183" s="10"/>
    </row>
    <row r="184" spans="1:73" ht="76.5" customHeight="1" x14ac:dyDescent="0.2">
      <c r="A184" s="214"/>
      <c r="B184" s="241"/>
      <c r="C184" s="241"/>
      <c r="D184" s="183"/>
      <c r="E184" s="181"/>
      <c r="F184" s="181"/>
      <c r="G184" s="181"/>
      <c r="H184" s="197"/>
      <c r="I184" s="242"/>
      <c r="J184" s="217"/>
      <c r="K184" s="183"/>
      <c r="L184" s="185"/>
      <c r="M184" s="205"/>
      <c r="N184" s="206"/>
      <c r="O184" s="203"/>
      <c r="P184" s="239">
        <f>IF(NOT(ISERROR(MATCH(O184,_xlfn.ANCHORARRAY(#REF!),0))),#REF!&amp;"Por favor no seleccionar los criterios de impacto",O184)</f>
        <v>0</v>
      </c>
      <c r="Q184" s="205"/>
      <c r="R184" s="206"/>
      <c r="S184" s="207"/>
      <c r="T184" s="152">
        <v>2</v>
      </c>
      <c r="U184" s="166" t="s">
        <v>619</v>
      </c>
      <c r="V184" s="153" t="str">
        <f>IF(OR(W184="Preventivo",W184="Detectivo"),"Probabilidad",IF(W184="Correctivo","Impacto",""))</f>
        <v>Probabilidad</v>
      </c>
      <c r="W184" s="154" t="s">
        <v>13</v>
      </c>
      <c r="X184" s="154" t="s">
        <v>8</v>
      </c>
      <c r="Y184" s="155" t="str">
        <f t="shared" ref="Y184:Y188" si="341">IF(AND(W184="Preventivo",X184="Automático"),"50%",IF(AND(W184="Preventivo",X184="Manual"),"40%",IF(AND(W184="Detectivo",X184="Automático"),"40%",IF(AND(W184="Detectivo",X184="Manual"),"30%",IF(AND(W184="Correctivo",X184="Automático"),"35%",IF(AND(W184="Correctivo",X184="Manual"),"25%",""))))))</f>
        <v>40%</v>
      </c>
      <c r="Z184" s="154" t="s">
        <v>18</v>
      </c>
      <c r="AA184" s="154" t="s">
        <v>21</v>
      </c>
      <c r="AB184" s="154" t="s">
        <v>112</v>
      </c>
      <c r="AC184" s="156">
        <f>IFERROR(IF(AND(V183="Probabilidad",V184="Probabilidad"),(AE183-(+AE183*Y184)),IF(V184="Probabilidad",(N183-(+N183*Y184)),IF(V184="Impacto",AE183,""))),"")</f>
        <v>7.1999999999999995E-2</v>
      </c>
      <c r="AD184" s="157" t="str">
        <f t="shared" ref="AD184:AD188" si="342">IFERROR(IF(AC184="","",IF(AC184&lt;=0.2,"Muy Baja",IF(AC184&lt;=0.4,"Baja",IF(AC184&lt;=0.6,"Media",IF(AC184&lt;=0.8,"Alta","Muy Alta"))))),"")</f>
        <v>Muy Baja</v>
      </c>
      <c r="AE184" s="158">
        <f t="shared" ref="AE184:AE188" si="343">+AC184</f>
        <v>7.1999999999999995E-2</v>
      </c>
      <c r="AF184" s="157" t="str">
        <f t="shared" ref="AF184:AF188" si="344">IFERROR(IF(AG184="","",IF(AG184&lt;=0.2,"Leve",IF(AG184&lt;=0.4,"Menor",IF(AG184&lt;=0.6,"Moderado",IF(AG184&lt;=0.8,"Mayor","Catastrófico"))))),"")</f>
        <v>Moderado</v>
      </c>
      <c r="AG184" s="158">
        <f>IFERROR(IF(AND(V183="Impacto",V184="Impacto"),(AG183-(+AG183*Y184)),IF(V184="Impacto",(R183-(+R183*Y184)),IF(V184="Probabilidad",AG183,""))),"")</f>
        <v>0.6</v>
      </c>
      <c r="AH184" s="159" t="str">
        <f t="shared" ref="AH184:AH185" si="345">IFERROR(IF(OR(AND(AD184="Muy Baja",AF184="Leve"),AND(AD184="Muy Baja",AF184="Menor"),AND(AD184="Baja",AF184="Leve")),"Bajo",IF(OR(AND(AD184="Muy baja",AF184="Moderado"),AND(AD184="Baja",AF184="Menor"),AND(AD184="Baja",AF184="Moderado"),AND(AD184="Media",AF184="Leve"),AND(AD184="Media",AF184="Menor"),AND(AD184="Media",AF184="Moderado"),AND(AD184="Alta",AF184="Leve"),AND(AD184="Alta",AF184="Menor")),"Moderado",IF(OR(AND(AD184="Muy Baja",AF184="Mayor"),AND(AD184="Baja",AF184="Mayor"),AND(AD184="Media",AF184="Mayor"),AND(AD184="Alta",AF184="Moderado"),AND(AD184="Alta",AF184="Mayor"),AND(AD184="Muy Alta",AF184="Leve"),AND(AD184="Muy Alta",AF184="Menor"),AND(AD184="Muy Alta",AF184="Moderado"),AND(AD184="Muy Alta",AF184="Mayor")),"Alto",IF(OR(AND(AD184="Muy Baja",AF184="Catastrófico"),AND(AD184="Baja",AF184="Catastrófico"),AND(AD184="Media",AF184="Catastrófico"),AND(AD184="Alta",AF184="Catastrófico"),AND(AD184="Muy Alta",AF184="Catastrófico")),"Extremo","")))),"")</f>
        <v>Moderado</v>
      </c>
      <c r="AI184" s="161" t="s">
        <v>29</v>
      </c>
      <c r="AJ184" s="197"/>
      <c r="AK184" s="185"/>
      <c r="AL184" s="187"/>
      <c r="AM184" s="195"/>
      <c r="AN184" s="183"/>
      <c r="AO184" s="192"/>
      <c r="AP184" s="290"/>
    </row>
    <row r="185" spans="1:73" ht="15" customHeight="1" x14ac:dyDescent="0.2">
      <c r="A185" s="214"/>
      <c r="B185" s="241"/>
      <c r="C185" s="241"/>
      <c r="D185" s="183"/>
      <c r="E185" s="181"/>
      <c r="F185" s="181"/>
      <c r="G185" s="181"/>
      <c r="H185" s="197"/>
      <c r="I185" s="242"/>
      <c r="J185" s="217"/>
      <c r="K185" s="183"/>
      <c r="L185" s="185"/>
      <c r="M185" s="205"/>
      <c r="N185" s="206"/>
      <c r="O185" s="203"/>
      <c r="P185" s="239">
        <f>IF(NOT(ISERROR(MATCH(O185,_xlfn.ANCHORARRAY(#REF!),0))),#REF!&amp;"Por favor no seleccionar los criterios de impacto",O185)</f>
        <v>0</v>
      </c>
      <c r="Q185" s="205"/>
      <c r="R185" s="206"/>
      <c r="S185" s="207"/>
      <c r="T185" s="152">
        <v>3</v>
      </c>
      <c r="U185" s="166"/>
      <c r="V185" s="153" t="str">
        <f>IF(OR(W185="Preventivo",W185="Detectivo"),"Probabilidad",IF(W185="Correctivo","Impacto",""))</f>
        <v/>
      </c>
      <c r="W185" s="154"/>
      <c r="X185" s="154"/>
      <c r="Y185" s="155" t="str">
        <f t="shared" si="341"/>
        <v/>
      </c>
      <c r="Z185" s="154"/>
      <c r="AA185" s="154"/>
      <c r="AB185" s="154"/>
      <c r="AC185" s="156" t="str">
        <f>IFERROR(IF(AND(V184="Probabilidad",V185="Probabilidad"),(AE184-(+AE184*Y185)),IF(AND(V184="Impacto",V185="Probabilidad"),(AE183-(+AE183*Y185)),IF(V185="Impacto",AE184,""))),"")</f>
        <v/>
      </c>
      <c r="AD185" s="157" t="str">
        <f t="shared" si="342"/>
        <v/>
      </c>
      <c r="AE185" s="158" t="str">
        <f t="shared" si="343"/>
        <v/>
      </c>
      <c r="AF185" s="157" t="str">
        <f t="shared" si="344"/>
        <v/>
      </c>
      <c r="AG185" s="158" t="str">
        <f>IFERROR(IF(AND(V184="Impacto",V185="Impacto"),(AG184-(+AG184*Y185)),IF(AND(V184="Probabilidad",V185="Impacto"),(AG183-(+AG183*Y185)),IF(V185="Probabilidad",AG184,""))),"")</f>
        <v/>
      </c>
      <c r="AH185" s="159" t="str">
        <f t="shared" si="345"/>
        <v/>
      </c>
      <c r="AI185" s="161"/>
      <c r="AJ185" s="197"/>
      <c r="AK185" s="185"/>
      <c r="AL185" s="187"/>
      <c r="AM185" s="195"/>
      <c r="AN185" s="183"/>
      <c r="AO185" s="192"/>
      <c r="AP185" s="290"/>
    </row>
    <row r="186" spans="1:73" ht="15" customHeight="1" x14ac:dyDescent="0.2">
      <c r="A186" s="214"/>
      <c r="B186" s="241"/>
      <c r="C186" s="241"/>
      <c r="D186" s="183"/>
      <c r="E186" s="181"/>
      <c r="F186" s="181"/>
      <c r="G186" s="181"/>
      <c r="H186" s="197"/>
      <c r="I186" s="242"/>
      <c r="J186" s="217"/>
      <c r="K186" s="183"/>
      <c r="L186" s="185"/>
      <c r="M186" s="205"/>
      <c r="N186" s="206"/>
      <c r="O186" s="203"/>
      <c r="P186" s="239">
        <f>IF(NOT(ISERROR(MATCH(O186,_xlfn.ANCHORARRAY(#REF!),0))),#REF!&amp;"Por favor no seleccionar los criterios de impacto",O186)</f>
        <v>0</v>
      </c>
      <c r="Q186" s="205"/>
      <c r="R186" s="206"/>
      <c r="S186" s="207"/>
      <c r="T186" s="152">
        <v>4</v>
      </c>
      <c r="U186" s="160"/>
      <c r="V186" s="153" t="str">
        <f t="shared" ref="V186:V188" si="346">IF(OR(W186="Preventivo",W186="Detectivo"),"Probabilidad",IF(W186="Correctivo","Impacto",""))</f>
        <v/>
      </c>
      <c r="W186" s="154"/>
      <c r="X186" s="154"/>
      <c r="Y186" s="155" t="str">
        <f t="shared" si="341"/>
        <v/>
      </c>
      <c r="Z186" s="154"/>
      <c r="AA186" s="154"/>
      <c r="AB186" s="154"/>
      <c r="AC186" s="156" t="str">
        <f t="shared" ref="AC186:AC188" si="347">IFERROR(IF(AND(V185="Probabilidad",V186="Probabilidad"),(AE185-(+AE185*Y186)),IF(AND(V185="Impacto",V186="Probabilidad"),(AE184-(+AE184*Y186)),IF(V186="Impacto",AE185,""))),"")</f>
        <v/>
      </c>
      <c r="AD186" s="157" t="str">
        <f t="shared" si="342"/>
        <v/>
      </c>
      <c r="AE186" s="158" t="str">
        <f t="shared" si="343"/>
        <v/>
      </c>
      <c r="AF186" s="157" t="str">
        <f t="shared" si="344"/>
        <v/>
      </c>
      <c r="AG186" s="158" t="str">
        <f t="shared" ref="AG186:AG188" si="348">IFERROR(IF(AND(V185="Impacto",V186="Impacto"),(AG185-(+AG185*Y186)),IF(AND(V185="Probabilidad",V186="Impacto"),(AG184-(+AG184*Y186)),IF(V186="Probabilidad",AG185,""))),"")</f>
        <v/>
      </c>
      <c r="AH186" s="159" t="str">
        <f>IFERROR(IF(OR(AND(AD186="Muy Baja",AF186="Leve"),AND(AD186="Muy Baja",AF186="Menor"),AND(AD186="Baja",AF186="Leve")),"Bajo",IF(OR(AND(AD186="Muy baja",AF186="Moderado"),AND(AD186="Baja",AF186="Menor"),AND(AD186="Baja",AF186="Moderado"),AND(AD186="Media",AF186="Leve"),AND(AD186="Media",AF186="Menor"),AND(AD186="Media",AF186="Moderado"),AND(AD186="Alta",AF186="Leve"),AND(AD186="Alta",AF186="Menor")),"Moderado",IF(OR(AND(AD186="Muy Baja",AF186="Mayor"),AND(AD186="Baja",AF186="Mayor"),AND(AD186="Media",AF186="Mayor"),AND(AD186="Alta",AF186="Moderado"),AND(AD186="Alta",AF186="Mayor"),AND(AD186="Muy Alta",AF186="Leve"),AND(AD186="Muy Alta",AF186="Menor"),AND(AD186="Muy Alta",AF186="Moderado"),AND(AD186="Muy Alta",AF186="Mayor")),"Alto",IF(OR(AND(AD186="Muy Baja",AF186="Catastrófico"),AND(AD186="Baja",AF186="Catastrófico"),AND(AD186="Media",AF186="Catastrófico"),AND(AD186="Alta",AF186="Catastrófico"),AND(AD186="Muy Alta",AF186="Catastrófico")),"Extremo","")))),"")</f>
        <v/>
      </c>
      <c r="AI186" s="161"/>
      <c r="AJ186" s="197"/>
      <c r="AK186" s="185"/>
      <c r="AL186" s="187"/>
      <c r="AM186" s="195"/>
      <c r="AN186" s="183"/>
      <c r="AO186" s="192"/>
      <c r="AP186" s="290"/>
    </row>
    <row r="187" spans="1:73" ht="15" customHeight="1" x14ac:dyDescent="0.2">
      <c r="A187" s="214"/>
      <c r="B187" s="241"/>
      <c r="C187" s="241"/>
      <c r="D187" s="183"/>
      <c r="E187" s="181"/>
      <c r="F187" s="181"/>
      <c r="G187" s="181"/>
      <c r="H187" s="197"/>
      <c r="I187" s="242"/>
      <c r="J187" s="217"/>
      <c r="K187" s="183"/>
      <c r="L187" s="185"/>
      <c r="M187" s="205"/>
      <c r="N187" s="206"/>
      <c r="O187" s="203"/>
      <c r="P187" s="239">
        <f>IF(NOT(ISERROR(MATCH(O187,_xlfn.ANCHORARRAY(#REF!),0))),N190&amp;"Por favor no seleccionar los criterios de impacto",O187)</f>
        <v>0</v>
      </c>
      <c r="Q187" s="205"/>
      <c r="R187" s="206"/>
      <c r="S187" s="207"/>
      <c r="T187" s="152">
        <v>5</v>
      </c>
      <c r="U187" s="160"/>
      <c r="V187" s="153" t="str">
        <f t="shared" si="346"/>
        <v/>
      </c>
      <c r="W187" s="154"/>
      <c r="X187" s="154"/>
      <c r="Y187" s="155" t="str">
        <f t="shared" si="341"/>
        <v/>
      </c>
      <c r="Z187" s="154"/>
      <c r="AA187" s="154"/>
      <c r="AB187" s="154"/>
      <c r="AC187" s="156" t="str">
        <f t="shared" si="347"/>
        <v/>
      </c>
      <c r="AD187" s="157" t="str">
        <f t="shared" si="342"/>
        <v/>
      </c>
      <c r="AE187" s="158" t="str">
        <f t="shared" si="343"/>
        <v/>
      </c>
      <c r="AF187" s="157" t="str">
        <f t="shared" si="344"/>
        <v/>
      </c>
      <c r="AG187" s="158" t="str">
        <f t="shared" si="348"/>
        <v/>
      </c>
      <c r="AH187" s="159" t="str">
        <f t="shared" ref="AH187:AH188" si="349">IFERROR(IF(OR(AND(AD187="Muy Baja",AF187="Leve"),AND(AD187="Muy Baja",AF187="Menor"),AND(AD187="Baja",AF187="Leve")),"Bajo",IF(OR(AND(AD187="Muy baja",AF187="Moderado"),AND(AD187="Baja",AF187="Menor"),AND(AD187="Baja",AF187="Moderado"),AND(AD187="Media",AF187="Leve"),AND(AD187="Media",AF187="Menor"),AND(AD187="Media",AF187="Moderado"),AND(AD187="Alta",AF187="Leve"),AND(AD187="Alta",AF187="Menor")),"Moderado",IF(OR(AND(AD187="Muy Baja",AF187="Mayor"),AND(AD187="Baja",AF187="Mayor"),AND(AD187="Media",AF187="Mayor"),AND(AD187="Alta",AF187="Moderado"),AND(AD187="Alta",AF187="Mayor"),AND(AD187="Muy Alta",AF187="Leve"),AND(AD187="Muy Alta",AF187="Menor"),AND(AD187="Muy Alta",AF187="Moderado"),AND(AD187="Muy Alta",AF187="Mayor")),"Alto",IF(OR(AND(AD187="Muy Baja",AF187="Catastrófico"),AND(AD187="Baja",AF187="Catastrófico"),AND(AD187="Media",AF187="Catastrófico"),AND(AD187="Alta",AF187="Catastrófico"),AND(AD187="Muy Alta",AF187="Catastrófico")),"Extremo","")))),"")</f>
        <v/>
      </c>
      <c r="AI187" s="161"/>
      <c r="AJ187" s="197"/>
      <c r="AK187" s="185"/>
      <c r="AL187" s="187"/>
      <c r="AM187" s="195"/>
      <c r="AN187" s="183"/>
      <c r="AO187" s="192"/>
      <c r="AP187" s="290"/>
    </row>
    <row r="188" spans="1:73" ht="15" customHeight="1" x14ac:dyDescent="0.2">
      <c r="A188" s="214"/>
      <c r="B188" s="241"/>
      <c r="C188" s="241"/>
      <c r="D188" s="183"/>
      <c r="E188" s="181"/>
      <c r="F188" s="181"/>
      <c r="G188" s="181"/>
      <c r="H188" s="197"/>
      <c r="I188" s="242"/>
      <c r="J188" s="217"/>
      <c r="K188" s="183"/>
      <c r="L188" s="185"/>
      <c r="M188" s="205"/>
      <c r="N188" s="206"/>
      <c r="O188" s="203"/>
      <c r="P188" s="239">
        <f>IF(NOT(ISERROR(MATCH(O188,_xlfn.ANCHORARRAY(#REF!),0))),N191&amp;"Por favor no seleccionar los criterios de impacto",O188)</f>
        <v>0</v>
      </c>
      <c r="Q188" s="205"/>
      <c r="R188" s="206"/>
      <c r="S188" s="207"/>
      <c r="T188" s="152">
        <v>6</v>
      </c>
      <c r="U188" s="160"/>
      <c r="V188" s="153" t="str">
        <f t="shared" si="346"/>
        <v/>
      </c>
      <c r="W188" s="154"/>
      <c r="X188" s="154"/>
      <c r="Y188" s="155" t="str">
        <f t="shared" si="341"/>
        <v/>
      </c>
      <c r="Z188" s="154"/>
      <c r="AA188" s="154"/>
      <c r="AB188" s="154"/>
      <c r="AC188" s="156" t="str">
        <f t="shared" si="347"/>
        <v/>
      </c>
      <c r="AD188" s="157" t="str">
        <f t="shared" si="342"/>
        <v/>
      </c>
      <c r="AE188" s="158" t="str">
        <f t="shared" si="343"/>
        <v/>
      </c>
      <c r="AF188" s="157" t="str">
        <f t="shared" si="344"/>
        <v/>
      </c>
      <c r="AG188" s="158" t="str">
        <f t="shared" si="348"/>
        <v/>
      </c>
      <c r="AH188" s="159" t="str">
        <f t="shared" si="349"/>
        <v/>
      </c>
      <c r="AI188" s="161"/>
      <c r="AJ188" s="197"/>
      <c r="AK188" s="185"/>
      <c r="AL188" s="187"/>
      <c r="AM188" s="195"/>
      <c r="AN188" s="183"/>
      <c r="AO188" s="192"/>
      <c r="AP188" s="290"/>
    </row>
    <row r="189" spans="1:73" ht="91.5" customHeight="1" x14ac:dyDescent="0.2">
      <c r="A189" s="214">
        <v>33</v>
      </c>
      <c r="B189" s="241" t="s">
        <v>246</v>
      </c>
      <c r="C189" s="241" t="s">
        <v>590</v>
      </c>
      <c r="D189" s="183" t="s">
        <v>267</v>
      </c>
      <c r="E189" s="181" t="s">
        <v>601</v>
      </c>
      <c r="F189" s="181" t="s">
        <v>602</v>
      </c>
      <c r="G189" s="181" t="s">
        <v>603</v>
      </c>
      <c r="H189" s="181" t="s">
        <v>604</v>
      </c>
      <c r="I189" s="242" t="s">
        <v>605</v>
      </c>
      <c r="J189" s="217" t="s">
        <v>230</v>
      </c>
      <c r="K189" s="183" t="s">
        <v>227</v>
      </c>
      <c r="L189" s="185">
        <v>12</v>
      </c>
      <c r="M189" s="205" t="str">
        <f t="shared" ref="M189" si="350">IF(L189&lt;=0,"",IF(L189&lt;=2,"Muy Baja",IF(L189&lt;=24,"Baja",IF(L189&lt;=500,"Media",IF(L189&lt;=5000,"Alta","Muy Alta")))))</f>
        <v>Baja</v>
      </c>
      <c r="N189" s="206">
        <f t="shared" ref="N189" si="351">IF(M189="","",IF(M189="Muy Baja",0.2,IF(M189="Baja",0.4,IF(M189="Media",0.6,IF(M189="Alta",0.8,IF(M189="Muy Alta",1,))))))</f>
        <v>0.4</v>
      </c>
      <c r="O189" s="203" t="s">
        <v>132</v>
      </c>
      <c r="P189" s="239" t="str">
        <f>IF(NOT(ISERROR(MATCH(O189,'Tabla Impacto'!$B$221:$B$223,0))),'Tabla Impacto'!$F$223&amp;"Por favor no seleccionar los criterios de impacto(Afectación Económica o presupuestal y Pérdida Reputacional)",O189)</f>
        <v xml:space="preserve">     El riesgo afecta la imagen de alguna área de la organización</v>
      </c>
      <c r="Q189" s="205" t="str">
        <f>IF(OR(P189='Tabla Impacto'!$C$11,P189='Tabla Impacto'!$D$11),"Leve",IF(OR(P189='Tabla Impacto'!$C$12,P189='Tabla Impacto'!$D$12),"Menor",IF(OR(P189='Tabla Impacto'!$C$13,P189='Tabla Impacto'!$D$13),"Moderado",IF(OR(P189='Tabla Impacto'!$C$14,P189='Tabla Impacto'!$D$14),"Mayor",IF(OR(P189='Tabla Impacto'!$C$15,P189='Tabla Impacto'!$D$15),"Catastrófico","")))))</f>
        <v>Leve</v>
      </c>
      <c r="R189" s="206">
        <f t="shared" ref="R189" si="352">IF(Q189="","",IF(Q189="Leve",0.2,IF(Q189="Menor",0.4,IF(Q189="Moderado",0.6,IF(Q189="Mayor",0.8,IF(Q189="Catastrófico",1,))))))</f>
        <v>0.2</v>
      </c>
      <c r="S189" s="207" t="str">
        <f t="shared" ref="S189" si="353">IF(OR(AND(M189="Muy Baja",Q189="Leve"),AND(M189="Muy Baja",Q189="Menor"),AND(M189="Baja",Q189="Leve")),"Bajo",IF(OR(AND(M189="Muy baja",Q189="Moderado"),AND(M189="Baja",Q189="Menor"),AND(M189="Baja",Q189="Moderado"),AND(M189="Media",Q189="Leve"),AND(M189="Media",Q189="Menor"),AND(M189="Media",Q189="Moderado"),AND(M189="Alta",Q189="Leve"),AND(M189="Alta",Q189="Menor")),"Moderado",IF(OR(AND(M189="Muy Baja",Q189="Mayor"),AND(M189="Baja",Q189="Mayor"),AND(M189="Media",Q189="Mayor"),AND(M189="Alta",Q189="Moderado"),AND(M189="Alta",Q189="Mayor"),AND(M189="Muy Alta",Q189="Leve"),AND(M189="Muy Alta",Q189="Menor"),AND(M189="Muy Alta",Q189="Moderado"),AND(M189="Muy Alta",Q189="Mayor")),"Alto",IF(OR(AND(M189="Muy Baja",Q189="Catastrófico"),AND(M189="Baja",Q189="Catastrófico"),AND(M189="Media",Q189="Catastrófico"),AND(M189="Alta",Q189="Catastrófico"),AND(M189="Muy Alta",Q189="Catastrófico")),"Extremo",""))))</f>
        <v>Bajo</v>
      </c>
      <c r="T189" s="152">
        <v>1</v>
      </c>
      <c r="U189" s="166" t="s">
        <v>620</v>
      </c>
      <c r="V189" s="153" t="str">
        <f>IF(OR(W189="Preventivo",W189="Detectivo"),"Probabilidad",IF(W189="Correctivo","Impacto",""))</f>
        <v>Probabilidad</v>
      </c>
      <c r="W189" s="154" t="s">
        <v>13</v>
      </c>
      <c r="X189" s="154" t="s">
        <v>8</v>
      </c>
      <c r="Y189" s="155" t="str">
        <f>IF(AND(W189="Preventivo",X189="Automático"),"50%",IF(AND(W189="Preventivo",X189="Manual"),"40%",IF(AND(W189="Detectivo",X189="Automático"),"40%",IF(AND(W189="Detectivo",X189="Manual"),"30%",IF(AND(W189="Correctivo",X189="Automático"),"35%",IF(AND(W189="Correctivo",X189="Manual"),"25%",""))))))</f>
        <v>40%</v>
      </c>
      <c r="Z189" s="154" t="s">
        <v>18</v>
      </c>
      <c r="AA189" s="154" t="s">
        <v>21</v>
      </c>
      <c r="AB189" s="154" t="s">
        <v>112</v>
      </c>
      <c r="AC189" s="156">
        <f>IFERROR(IF(V189="Probabilidad",(N189-(+N189*Y189)),IF(V189="Impacto",N189,"")),"")</f>
        <v>0.24</v>
      </c>
      <c r="AD189" s="157" t="str">
        <f>IFERROR(IF(AC189="","",IF(AC189&lt;=0.2,"Muy Baja",IF(AC189&lt;=0.4,"Baja",IF(AC189&lt;=0.6,"Media",IF(AC189&lt;=0.8,"Alta","Muy Alta"))))),"")</f>
        <v>Baja</v>
      </c>
      <c r="AE189" s="158">
        <f>+AC189</f>
        <v>0.24</v>
      </c>
      <c r="AF189" s="157" t="str">
        <f>IFERROR(IF(AG189="","",IF(AG189&lt;=0.2,"Leve",IF(AG189&lt;=0.4,"Menor",IF(AG189&lt;=0.6,"Moderado",IF(AG189&lt;=0.8,"Mayor","Catastrófico"))))),"")</f>
        <v>Leve</v>
      </c>
      <c r="AG189" s="158">
        <f>IFERROR(IF(V189="Impacto",(R189-(+R189*Y189)),IF(V189="Probabilidad",R189,"")),"")</f>
        <v>0.2</v>
      </c>
      <c r="AH189" s="159" t="str">
        <f>IFERROR(IF(OR(AND(AD189="Muy Baja",AF189="Leve"),AND(AD189="Muy Baja",AF189="Menor"),AND(AD189="Baja",AF189="Leve")),"Bajo",IF(OR(AND(AD189="Muy baja",AF189="Moderado"),AND(AD189="Baja",AF189="Menor"),AND(AD189="Baja",AF189="Moderado"),AND(AD189="Media",AF189="Leve"),AND(AD189="Media",AF189="Menor"),AND(AD189="Media",AF189="Moderado"),AND(AD189="Alta",AF189="Leve"),AND(AD189="Alta",AF189="Menor")),"Moderado",IF(OR(AND(AD189="Muy Baja",AF189="Mayor"),AND(AD189="Baja",AF189="Mayor"),AND(AD189="Media",AF189="Mayor"),AND(AD189="Alta",AF189="Moderado"),AND(AD189="Alta",AF189="Mayor"),AND(AD189="Muy Alta",AF189="Leve"),AND(AD189="Muy Alta",AF189="Menor"),AND(AD189="Muy Alta",AF189="Moderado"),AND(AD189="Muy Alta",AF189="Mayor")),"Alto",IF(OR(AND(AD189="Muy Baja",AF189="Catastrófico"),AND(AD189="Baja",AF189="Catastrófico"),AND(AD189="Media",AF189="Catastrófico"),AND(AD189="Alta",AF189="Catastrófico"),AND(AD189="Muy Alta",AF189="Catastrófico")),"Extremo","")))),"")</f>
        <v>Bajo</v>
      </c>
      <c r="AI189" s="161" t="s">
        <v>29</v>
      </c>
      <c r="AJ189" s="181" t="s">
        <v>629</v>
      </c>
      <c r="AK189" s="185" t="s">
        <v>194</v>
      </c>
      <c r="AL189" s="187">
        <v>45293</v>
      </c>
      <c r="AM189" s="195">
        <v>45657</v>
      </c>
      <c r="AN189" s="183" t="s">
        <v>284</v>
      </c>
      <c r="AO189" s="192" t="s">
        <v>269</v>
      </c>
      <c r="AP189" s="290" t="s">
        <v>630</v>
      </c>
      <c r="AQ189" s="10"/>
      <c r="AR189" s="10"/>
      <c r="AS189" s="10"/>
      <c r="AT189" s="10"/>
      <c r="AU189" s="10"/>
      <c r="AV189" s="10"/>
      <c r="AW189" s="10"/>
      <c r="AX189" s="10"/>
      <c r="AY189" s="10"/>
      <c r="AZ189" s="10"/>
      <c r="BA189" s="10"/>
      <c r="BB189" s="10"/>
      <c r="BC189" s="10"/>
      <c r="BD189" s="10"/>
      <c r="BE189" s="10"/>
      <c r="BF189" s="10"/>
      <c r="BG189" s="10"/>
      <c r="BH189" s="10"/>
      <c r="BI189" s="10"/>
      <c r="BJ189" s="10"/>
      <c r="BK189" s="10"/>
      <c r="BL189" s="10"/>
      <c r="BM189" s="10"/>
      <c r="BN189" s="10"/>
      <c r="BO189" s="10"/>
      <c r="BP189" s="10"/>
      <c r="BQ189" s="10"/>
      <c r="BR189" s="10"/>
      <c r="BS189" s="10"/>
      <c r="BT189" s="10"/>
      <c r="BU189" s="10"/>
    </row>
    <row r="190" spans="1:73" ht="128.25" x14ac:dyDescent="0.2">
      <c r="A190" s="214"/>
      <c r="B190" s="241"/>
      <c r="C190" s="241"/>
      <c r="D190" s="183"/>
      <c r="E190" s="181"/>
      <c r="F190" s="181"/>
      <c r="G190" s="181"/>
      <c r="H190" s="181"/>
      <c r="I190" s="242"/>
      <c r="J190" s="217"/>
      <c r="K190" s="183"/>
      <c r="L190" s="185"/>
      <c r="M190" s="205"/>
      <c r="N190" s="206"/>
      <c r="O190" s="203"/>
      <c r="P190" s="239">
        <f>IF(NOT(ISERROR(MATCH(O190,_xlfn.ANCHORARRAY(#REF!),0))),#REF!&amp;"Por favor no seleccionar los criterios de impacto",O190)</f>
        <v>0</v>
      </c>
      <c r="Q190" s="205"/>
      <c r="R190" s="206"/>
      <c r="S190" s="207"/>
      <c r="T190" s="152">
        <v>2</v>
      </c>
      <c r="U190" s="166" t="s">
        <v>621</v>
      </c>
      <c r="V190" s="153" t="str">
        <f>IF(OR(W190="Preventivo",W190="Detectivo"),"Probabilidad",IF(W190="Correctivo","Impacto",""))</f>
        <v>Probabilidad</v>
      </c>
      <c r="W190" s="154" t="s">
        <v>13</v>
      </c>
      <c r="X190" s="154" t="s">
        <v>8</v>
      </c>
      <c r="Y190" s="155" t="str">
        <f t="shared" ref="Y190:Y194" si="354">IF(AND(W190="Preventivo",X190="Automático"),"50%",IF(AND(W190="Preventivo",X190="Manual"),"40%",IF(AND(W190="Detectivo",X190="Automático"),"40%",IF(AND(W190="Detectivo",X190="Manual"),"30%",IF(AND(W190="Correctivo",X190="Automático"),"35%",IF(AND(W190="Correctivo",X190="Manual"),"25%",""))))))</f>
        <v>40%</v>
      </c>
      <c r="Z190" s="154" t="s">
        <v>18</v>
      </c>
      <c r="AA190" s="154" t="s">
        <v>21</v>
      </c>
      <c r="AB190" s="154" t="s">
        <v>112</v>
      </c>
      <c r="AC190" s="156">
        <f>IFERROR(IF(AND(V189="Probabilidad",V190="Probabilidad"),(AE189-(+AE189*Y190)),IF(V190="Probabilidad",(N189-(+N189*Y190)),IF(V190="Impacto",AE189,""))),"")</f>
        <v>0.14399999999999999</v>
      </c>
      <c r="AD190" s="157" t="str">
        <f t="shared" ref="AD190:AD194" si="355">IFERROR(IF(AC190="","",IF(AC190&lt;=0.2,"Muy Baja",IF(AC190&lt;=0.4,"Baja",IF(AC190&lt;=0.6,"Media",IF(AC190&lt;=0.8,"Alta","Muy Alta"))))),"")</f>
        <v>Muy Baja</v>
      </c>
      <c r="AE190" s="158">
        <f t="shared" ref="AE190:AE194" si="356">+AC190</f>
        <v>0.14399999999999999</v>
      </c>
      <c r="AF190" s="157" t="str">
        <f t="shared" ref="AF190:AF194" si="357">IFERROR(IF(AG190="","",IF(AG190&lt;=0.2,"Leve",IF(AG190&lt;=0.4,"Menor",IF(AG190&lt;=0.6,"Moderado",IF(AG190&lt;=0.8,"Mayor","Catastrófico"))))),"")</f>
        <v>Leve</v>
      </c>
      <c r="AG190" s="158">
        <f>IFERROR(IF(AND(V189="Impacto",V190="Impacto"),(AG189-(+AG189*Y190)),IF(V190="Impacto",(R189-(+R189*Y190)),IF(V190="Probabilidad",AG189,""))),"")</f>
        <v>0.2</v>
      </c>
      <c r="AH190" s="159" t="str">
        <f t="shared" ref="AH190:AH191" si="358">IFERROR(IF(OR(AND(AD190="Muy Baja",AF190="Leve"),AND(AD190="Muy Baja",AF190="Menor"),AND(AD190="Baja",AF190="Leve")),"Bajo",IF(OR(AND(AD190="Muy baja",AF190="Moderado"),AND(AD190="Baja",AF190="Menor"),AND(AD190="Baja",AF190="Moderado"),AND(AD190="Media",AF190="Leve"),AND(AD190="Media",AF190="Menor"),AND(AD190="Media",AF190="Moderado"),AND(AD190="Alta",AF190="Leve"),AND(AD190="Alta",AF190="Menor")),"Moderado",IF(OR(AND(AD190="Muy Baja",AF190="Mayor"),AND(AD190="Baja",AF190="Mayor"),AND(AD190="Media",AF190="Mayor"),AND(AD190="Alta",AF190="Moderado"),AND(AD190="Alta",AF190="Mayor"),AND(AD190="Muy Alta",AF190="Leve"),AND(AD190="Muy Alta",AF190="Menor"),AND(AD190="Muy Alta",AF190="Moderado"),AND(AD190="Muy Alta",AF190="Mayor")),"Alto",IF(OR(AND(AD190="Muy Baja",AF190="Catastrófico"),AND(AD190="Baja",AF190="Catastrófico"),AND(AD190="Media",AF190="Catastrófico"),AND(AD190="Alta",AF190="Catastrófico"),AND(AD190="Muy Alta",AF190="Catastrófico")),"Extremo","")))),"")</f>
        <v>Bajo</v>
      </c>
      <c r="AI190" s="161" t="s">
        <v>29</v>
      </c>
      <c r="AJ190" s="181"/>
      <c r="AK190" s="185"/>
      <c r="AL190" s="187"/>
      <c r="AM190" s="195"/>
      <c r="AN190" s="183"/>
      <c r="AO190" s="192"/>
      <c r="AP190" s="290"/>
    </row>
    <row r="191" spans="1:73" ht="15" customHeight="1" x14ac:dyDescent="0.2">
      <c r="A191" s="214"/>
      <c r="B191" s="241"/>
      <c r="C191" s="241"/>
      <c r="D191" s="183"/>
      <c r="E191" s="181"/>
      <c r="F191" s="181"/>
      <c r="G191" s="181"/>
      <c r="H191" s="181"/>
      <c r="I191" s="242"/>
      <c r="J191" s="217"/>
      <c r="K191" s="183"/>
      <c r="L191" s="185"/>
      <c r="M191" s="205"/>
      <c r="N191" s="206"/>
      <c r="O191" s="203"/>
      <c r="P191" s="239">
        <f>IF(NOT(ISERROR(MATCH(O191,_xlfn.ANCHORARRAY(#REF!),0))),#REF!&amp;"Por favor no seleccionar los criterios de impacto",O191)</f>
        <v>0</v>
      </c>
      <c r="Q191" s="205"/>
      <c r="R191" s="206"/>
      <c r="S191" s="207"/>
      <c r="T191" s="152">
        <v>3</v>
      </c>
      <c r="U191" s="167"/>
      <c r="V191" s="153" t="str">
        <f>IF(OR(W191="Preventivo",W191="Detectivo"),"Probabilidad",IF(W191="Correctivo","Impacto",""))</f>
        <v/>
      </c>
      <c r="W191" s="154"/>
      <c r="X191" s="154"/>
      <c r="Y191" s="155" t="str">
        <f t="shared" si="354"/>
        <v/>
      </c>
      <c r="Z191" s="154"/>
      <c r="AA191" s="154"/>
      <c r="AB191" s="154"/>
      <c r="AC191" s="156" t="str">
        <f>IFERROR(IF(AND(V190="Probabilidad",V191="Probabilidad"),(AE190-(+AE190*Y191)),IF(AND(V190="Impacto",V191="Probabilidad"),(AE189-(+AE189*Y191)),IF(V191="Impacto",AE190,""))),"")</f>
        <v/>
      </c>
      <c r="AD191" s="157" t="str">
        <f t="shared" si="355"/>
        <v/>
      </c>
      <c r="AE191" s="158" t="str">
        <f t="shared" si="356"/>
        <v/>
      </c>
      <c r="AF191" s="157" t="str">
        <f t="shared" si="357"/>
        <v/>
      </c>
      <c r="AG191" s="158" t="str">
        <f>IFERROR(IF(AND(V190="Impacto",V191="Impacto"),(AG190-(+AG190*Y191)),IF(AND(V190="Probabilidad",V191="Impacto"),(AG189-(+AG189*Y191)),IF(V191="Probabilidad",AG190,""))),"")</f>
        <v/>
      </c>
      <c r="AH191" s="159" t="str">
        <f t="shared" si="358"/>
        <v/>
      </c>
      <c r="AI191" s="161"/>
      <c r="AJ191" s="181"/>
      <c r="AK191" s="185"/>
      <c r="AL191" s="187"/>
      <c r="AM191" s="195"/>
      <c r="AN191" s="183"/>
      <c r="AO191" s="192"/>
      <c r="AP191" s="290"/>
    </row>
    <row r="192" spans="1:73" ht="15" customHeight="1" x14ac:dyDescent="0.2">
      <c r="A192" s="214"/>
      <c r="B192" s="241"/>
      <c r="C192" s="241"/>
      <c r="D192" s="183"/>
      <c r="E192" s="181"/>
      <c r="F192" s="181"/>
      <c r="G192" s="181"/>
      <c r="H192" s="181"/>
      <c r="I192" s="242"/>
      <c r="J192" s="217"/>
      <c r="K192" s="183"/>
      <c r="L192" s="185"/>
      <c r="M192" s="205"/>
      <c r="N192" s="206"/>
      <c r="O192" s="203"/>
      <c r="P192" s="239">
        <f>IF(NOT(ISERROR(MATCH(O192,_xlfn.ANCHORARRAY(#REF!),0))),#REF!&amp;"Por favor no seleccionar los criterios de impacto",O192)</f>
        <v>0</v>
      </c>
      <c r="Q192" s="205"/>
      <c r="R192" s="206"/>
      <c r="S192" s="207"/>
      <c r="T192" s="152">
        <v>4</v>
      </c>
      <c r="U192" s="160"/>
      <c r="V192" s="153" t="str">
        <f t="shared" ref="V192:V194" si="359">IF(OR(W192="Preventivo",W192="Detectivo"),"Probabilidad",IF(W192="Correctivo","Impacto",""))</f>
        <v/>
      </c>
      <c r="W192" s="154"/>
      <c r="X192" s="154"/>
      <c r="Y192" s="155" t="str">
        <f t="shared" si="354"/>
        <v/>
      </c>
      <c r="Z192" s="154"/>
      <c r="AA192" s="154"/>
      <c r="AB192" s="154"/>
      <c r="AC192" s="156" t="str">
        <f t="shared" ref="AC192:AC194" si="360">IFERROR(IF(AND(V191="Probabilidad",V192="Probabilidad"),(AE191-(+AE191*Y192)),IF(AND(V191="Impacto",V192="Probabilidad"),(AE190-(+AE190*Y192)),IF(V192="Impacto",AE191,""))),"")</f>
        <v/>
      </c>
      <c r="AD192" s="157" t="str">
        <f t="shared" si="355"/>
        <v/>
      </c>
      <c r="AE192" s="158" t="str">
        <f t="shared" si="356"/>
        <v/>
      </c>
      <c r="AF192" s="157" t="str">
        <f t="shared" si="357"/>
        <v/>
      </c>
      <c r="AG192" s="158" t="str">
        <f t="shared" ref="AG192:AG194" si="361">IFERROR(IF(AND(V191="Impacto",V192="Impacto"),(AG191-(+AG191*Y192)),IF(AND(V191="Probabilidad",V192="Impacto"),(AG190-(+AG190*Y192)),IF(V192="Probabilidad",AG191,""))),"")</f>
        <v/>
      </c>
      <c r="AH192" s="159" t="str">
        <f>IFERROR(IF(OR(AND(AD192="Muy Baja",AF192="Leve"),AND(AD192="Muy Baja",AF192="Menor"),AND(AD192="Baja",AF192="Leve")),"Bajo",IF(OR(AND(AD192="Muy baja",AF192="Moderado"),AND(AD192="Baja",AF192="Menor"),AND(AD192="Baja",AF192="Moderado"),AND(AD192="Media",AF192="Leve"),AND(AD192="Media",AF192="Menor"),AND(AD192="Media",AF192="Moderado"),AND(AD192="Alta",AF192="Leve"),AND(AD192="Alta",AF192="Menor")),"Moderado",IF(OR(AND(AD192="Muy Baja",AF192="Mayor"),AND(AD192="Baja",AF192="Mayor"),AND(AD192="Media",AF192="Mayor"),AND(AD192="Alta",AF192="Moderado"),AND(AD192="Alta",AF192="Mayor"),AND(AD192="Muy Alta",AF192="Leve"),AND(AD192="Muy Alta",AF192="Menor"),AND(AD192="Muy Alta",AF192="Moderado"),AND(AD192="Muy Alta",AF192="Mayor")),"Alto",IF(OR(AND(AD192="Muy Baja",AF192="Catastrófico"),AND(AD192="Baja",AF192="Catastrófico"),AND(AD192="Media",AF192="Catastrófico"),AND(AD192="Alta",AF192="Catastrófico"),AND(AD192="Muy Alta",AF192="Catastrófico")),"Extremo","")))),"")</f>
        <v/>
      </c>
      <c r="AI192" s="161"/>
      <c r="AJ192" s="181"/>
      <c r="AK192" s="185"/>
      <c r="AL192" s="187"/>
      <c r="AM192" s="195"/>
      <c r="AN192" s="183"/>
      <c r="AO192" s="192"/>
      <c r="AP192" s="290"/>
    </row>
    <row r="193" spans="1:73" ht="15" customHeight="1" x14ac:dyDescent="0.2">
      <c r="A193" s="214"/>
      <c r="B193" s="241"/>
      <c r="C193" s="241"/>
      <c r="D193" s="183"/>
      <c r="E193" s="181"/>
      <c r="F193" s="181"/>
      <c r="G193" s="181"/>
      <c r="H193" s="181"/>
      <c r="I193" s="242"/>
      <c r="J193" s="217"/>
      <c r="K193" s="183"/>
      <c r="L193" s="185"/>
      <c r="M193" s="205"/>
      <c r="N193" s="206"/>
      <c r="O193" s="203"/>
      <c r="P193" s="239">
        <f>IF(NOT(ISERROR(MATCH(O193,_xlfn.ANCHORARRAY(#REF!),0))),N196&amp;"Por favor no seleccionar los criterios de impacto",O193)</f>
        <v>0</v>
      </c>
      <c r="Q193" s="205"/>
      <c r="R193" s="206"/>
      <c r="S193" s="207"/>
      <c r="T193" s="152">
        <v>5</v>
      </c>
      <c r="U193" s="160"/>
      <c r="V193" s="153" t="str">
        <f t="shared" si="359"/>
        <v/>
      </c>
      <c r="W193" s="154"/>
      <c r="X193" s="154"/>
      <c r="Y193" s="155" t="str">
        <f t="shared" si="354"/>
        <v/>
      </c>
      <c r="Z193" s="154"/>
      <c r="AA193" s="154"/>
      <c r="AB193" s="154"/>
      <c r="AC193" s="156" t="str">
        <f t="shared" si="360"/>
        <v/>
      </c>
      <c r="AD193" s="157" t="str">
        <f t="shared" si="355"/>
        <v/>
      </c>
      <c r="AE193" s="158" t="str">
        <f t="shared" si="356"/>
        <v/>
      </c>
      <c r="AF193" s="157" t="str">
        <f t="shared" si="357"/>
        <v/>
      </c>
      <c r="AG193" s="158" t="str">
        <f t="shared" si="361"/>
        <v/>
      </c>
      <c r="AH193" s="159" t="str">
        <f t="shared" ref="AH193:AH194" si="362">IFERROR(IF(OR(AND(AD193="Muy Baja",AF193="Leve"),AND(AD193="Muy Baja",AF193="Menor"),AND(AD193="Baja",AF193="Leve")),"Bajo",IF(OR(AND(AD193="Muy baja",AF193="Moderado"),AND(AD193="Baja",AF193="Menor"),AND(AD193="Baja",AF193="Moderado"),AND(AD193="Media",AF193="Leve"),AND(AD193="Media",AF193="Menor"),AND(AD193="Media",AF193="Moderado"),AND(AD193="Alta",AF193="Leve"),AND(AD193="Alta",AF193="Menor")),"Moderado",IF(OR(AND(AD193="Muy Baja",AF193="Mayor"),AND(AD193="Baja",AF193="Mayor"),AND(AD193="Media",AF193="Mayor"),AND(AD193="Alta",AF193="Moderado"),AND(AD193="Alta",AF193="Mayor"),AND(AD193="Muy Alta",AF193="Leve"),AND(AD193="Muy Alta",AF193="Menor"),AND(AD193="Muy Alta",AF193="Moderado"),AND(AD193="Muy Alta",AF193="Mayor")),"Alto",IF(OR(AND(AD193="Muy Baja",AF193="Catastrófico"),AND(AD193="Baja",AF193="Catastrófico"),AND(AD193="Media",AF193="Catastrófico"),AND(AD193="Alta",AF193="Catastrófico"),AND(AD193="Muy Alta",AF193="Catastrófico")),"Extremo","")))),"")</f>
        <v/>
      </c>
      <c r="AI193" s="161"/>
      <c r="AJ193" s="181"/>
      <c r="AK193" s="185"/>
      <c r="AL193" s="187"/>
      <c r="AM193" s="195"/>
      <c r="AN193" s="183"/>
      <c r="AO193" s="192"/>
      <c r="AP193" s="290"/>
    </row>
    <row r="194" spans="1:73" ht="15" customHeight="1" x14ac:dyDescent="0.2">
      <c r="A194" s="214"/>
      <c r="B194" s="241"/>
      <c r="C194" s="241"/>
      <c r="D194" s="183"/>
      <c r="E194" s="181"/>
      <c r="F194" s="181"/>
      <c r="G194" s="181"/>
      <c r="H194" s="181"/>
      <c r="I194" s="242"/>
      <c r="J194" s="217"/>
      <c r="K194" s="183"/>
      <c r="L194" s="185"/>
      <c r="M194" s="205"/>
      <c r="N194" s="206"/>
      <c r="O194" s="203"/>
      <c r="P194" s="239">
        <f>IF(NOT(ISERROR(MATCH(O194,_xlfn.ANCHORARRAY(#REF!),0))),N197&amp;"Por favor no seleccionar los criterios de impacto",O194)</f>
        <v>0</v>
      </c>
      <c r="Q194" s="205"/>
      <c r="R194" s="206"/>
      <c r="S194" s="207"/>
      <c r="T194" s="152">
        <v>6</v>
      </c>
      <c r="U194" s="160"/>
      <c r="V194" s="153" t="str">
        <f t="shared" si="359"/>
        <v/>
      </c>
      <c r="W194" s="154"/>
      <c r="X194" s="154"/>
      <c r="Y194" s="155" t="str">
        <f t="shared" si="354"/>
        <v/>
      </c>
      <c r="Z194" s="154"/>
      <c r="AA194" s="154"/>
      <c r="AB194" s="154"/>
      <c r="AC194" s="156" t="str">
        <f t="shared" si="360"/>
        <v/>
      </c>
      <c r="AD194" s="157" t="str">
        <f t="shared" si="355"/>
        <v/>
      </c>
      <c r="AE194" s="158" t="str">
        <f t="shared" si="356"/>
        <v/>
      </c>
      <c r="AF194" s="157" t="str">
        <f t="shared" si="357"/>
        <v/>
      </c>
      <c r="AG194" s="158" t="str">
        <f t="shared" si="361"/>
        <v/>
      </c>
      <c r="AH194" s="159" t="str">
        <f t="shared" si="362"/>
        <v/>
      </c>
      <c r="AI194" s="161"/>
      <c r="AJ194" s="181"/>
      <c r="AK194" s="185"/>
      <c r="AL194" s="187"/>
      <c r="AM194" s="195"/>
      <c r="AN194" s="183"/>
      <c r="AO194" s="192"/>
      <c r="AP194" s="290"/>
    </row>
    <row r="195" spans="1:73" ht="60.75" customHeight="1" x14ac:dyDescent="0.2">
      <c r="A195" s="214">
        <v>34</v>
      </c>
      <c r="B195" s="241" t="s">
        <v>246</v>
      </c>
      <c r="C195" s="241" t="s">
        <v>590</v>
      </c>
      <c r="D195" s="183" t="s">
        <v>266</v>
      </c>
      <c r="E195" s="181" t="s">
        <v>606</v>
      </c>
      <c r="F195" s="181" t="s">
        <v>607</v>
      </c>
      <c r="G195" s="181" t="s">
        <v>608</v>
      </c>
      <c r="H195" s="181" t="s">
        <v>609</v>
      </c>
      <c r="I195" s="242" t="s">
        <v>610</v>
      </c>
      <c r="J195" s="217" t="s">
        <v>230</v>
      </c>
      <c r="K195" s="183" t="s">
        <v>227</v>
      </c>
      <c r="L195" s="185">
        <v>12</v>
      </c>
      <c r="M195" s="205" t="str">
        <f t="shared" ref="M195" si="363">IF(L195&lt;=0,"",IF(L195&lt;=2,"Muy Baja",IF(L195&lt;=24,"Baja",IF(L195&lt;=500,"Media",IF(L195&lt;=5000,"Alta","Muy Alta")))))</f>
        <v>Baja</v>
      </c>
      <c r="N195" s="206">
        <f t="shared" ref="N195" si="364">IF(M195="","",IF(M195="Muy Baja",0.2,IF(M195="Baja",0.4,IF(M195="Media",0.6,IF(M195="Alta",0.8,IF(M195="Muy Alta",1,))))))</f>
        <v>0.4</v>
      </c>
      <c r="O195" s="203" t="s">
        <v>132</v>
      </c>
      <c r="P195" s="239" t="str">
        <f>IF(NOT(ISERROR(MATCH(O195,'Tabla Impacto'!$B$221:$B$223,0))),'Tabla Impacto'!$F$223&amp;"Por favor no seleccionar los criterios de impacto(Afectación Económica o presupuestal y Pérdida Reputacional)",O195)</f>
        <v xml:space="preserve">     El riesgo afecta la imagen de alguna área de la organización</v>
      </c>
      <c r="Q195" s="205" t="str">
        <f>IF(OR(P195='Tabla Impacto'!$C$11,P195='Tabla Impacto'!$D$11),"Leve",IF(OR(P195='Tabla Impacto'!$C$12,P195='Tabla Impacto'!$D$12),"Menor",IF(OR(P195='Tabla Impacto'!$C$13,P195='Tabla Impacto'!$D$13),"Moderado",IF(OR(P195='Tabla Impacto'!$C$14,P195='Tabla Impacto'!$D$14),"Mayor",IF(OR(P195='Tabla Impacto'!$C$15,P195='Tabla Impacto'!$D$15),"Catastrófico","")))))</f>
        <v>Leve</v>
      </c>
      <c r="R195" s="206">
        <f t="shared" ref="R195" si="365">IF(Q195="","",IF(Q195="Leve",0.2,IF(Q195="Menor",0.4,IF(Q195="Moderado",0.6,IF(Q195="Mayor",0.8,IF(Q195="Catastrófico",1,))))))</f>
        <v>0.2</v>
      </c>
      <c r="S195" s="207" t="str">
        <f t="shared" ref="S195" si="366">IF(OR(AND(M195="Muy Baja",Q195="Leve"),AND(M195="Muy Baja",Q195="Menor"),AND(M195="Baja",Q195="Leve")),"Bajo",IF(OR(AND(M195="Muy baja",Q195="Moderado"),AND(M195="Baja",Q195="Menor"),AND(M195="Baja",Q195="Moderado"),AND(M195="Media",Q195="Leve"),AND(M195="Media",Q195="Menor"),AND(M195="Media",Q195="Moderado"),AND(M195="Alta",Q195="Leve"),AND(M195="Alta",Q195="Menor")),"Moderado",IF(OR(AND(M195="Muy Baja",Q195="Mayor"),AND(M195="Baja",Q195="Mayor"),AND(M195="Media",Q195="Mayor"),AND(M195="Alta",Q195="Moderado"),AND(M195="Alta",Q195="Mayor"),AND(M195="Muy Alta",Q195="Leve"),AND(M195="Muy Alta",Q195="Menor"),AND(M195="Muy Alta",Q195="Moderado"),AND(M195="Muy Alta",Q195="Mayor")),"Alto",IF(OR(AND(M195="Muy Baja",Q195="Catastrófico"),AND(M195="Baja",Q195="Catastrófico"),AND(M195="Media",Q195="Catastrófico"),AND(M195="Alta",Q195="Catastrófico"),AND(M195="Muy Alta",Q195="Catastrófico")),"Extremo",""))))</f>
        <v>Bajo</v>
      </c>
      <c r="T195" s="152">
        <v>1</v>
      </c>
      <c r="U195" s="166" t="s">
        <v>622</v>
      </c>
      <c r="V195" s="153" t="str">
        <f>IF(OR(W195="Preventivo",W195="Detectivo"),"Probabilidad",IF(W195="Correctivo","Impacto",""))</f>
        <v>Probabilidad</v>
      </c>
      <c r="W195" s="154" t="s">
        <v>13</v>
      </c>
      <c r="X195" s="154" t="s">
        <v>8</v>
      </c>
      <c r="Y195" s="155" t="str">
        <f>IF(AND(W195="Preventivo",X195="Automático"),"50%",IF(AND(W195="Preventivo",X195="Manual"),"40%",IF(AND(W195="Detectivo",X195="Automático"),"40%",IF(AND(W195="Detectivo",X195="Manual"),"30%",IF(AND(W195="Correctivo",X195="Automático"),"35%",IF(AND(W195="Correctivo",X195="Manual"),"25%",""))))))</f>
        <v>40%</v>
      </c>
      <c r="Z195" s="154" t="s">
        <v>18</v>
      </c>
      <c r="AA195" s="154" t="s">
        <v>21</v>
      </c>
      <c r="AB195" s="154" t="s">
        <v>112</v>
      </c>
      <c r="AC195" s="156">
        <f>IFERROR(IF(V195="Probabilidad",(N195-(+N195*Y195)),IF(V195="Impacto",N195,"")),"")</f>
        <v>0.24</v>
      </c>
      <c r="AD195" s="157" t="str">
        <f>IFERROR(IF(AC195="","",IF(AC195&lt;=0.2,"Muy Baja",IF(AC195&lt;=0.4,"Baja",IF(AC195&lt;=0.6,"Media",IF(AC195&lt;=0.8,"Alta","Muy Alta"))))),"")</f>
        <v>Baja</v>
      </c>
      <c r="AE195" s="158">
        <f>+AC195</f>
        <v>0.24</v>
      </c>
      <c r="AF195" s="157" t="str">
        <f>IFERROR(IF(AG195="","",IF(AG195&lt;=0.2,"Leve",IF(AG195&lt;=0.4,"Menor",IF(AG195&lt;=0.6,"Moderado",IF(AG195&lt;=0.8,"Mayor","Catastrófico"))))),"")</f>
        <v>Leve</v>
      </c>
      <c r="AG195" s="158">
        <f>IFERROR(IF(V195="Impacto",(R195-(+R195*Y195)),IF(V195="Probabilidad",R195,"")),"")</f>
        <v>0.2</v>
      </c>
      <c r="AH195" s="159" t="str">
        <f>IFERROR(IF(OR(AND(AD195="Muy Baja",AF195="Leve"),AND(AD195="Muy Baja",AF195="Menor"),AND(AD195="Baja",AF195="Leve")),"Bajo",IF(OR(AND(AD195="Muy baja",AF195="Moderado"),AND(AD195="Baja",AF195="Menor"),AND(AD195="Baja",AF195="Moderado"),AND(AD195="Media",AF195="Leve"),AND(AD195="Media",AF195="Menor"),AND(AD195="Media",AF195="Moderado"),AND(AD195="Alta",AF195="Leve"),AND(AD195="Alta",AF195="Menor")),"Moderado",IF(OR(AND(AD195="Muy Baja",AF195="Mayor"),AND(AD195="Baja",AF195="Mayor"),AND(AD195="Media",AF195="Mayor"),AND(AD195="Alta",AF195="Moderado"),AND(AD195="Alta",AF195="Mayor"),AND(AD195="Muy Alta",AF195="Leve"),AND(AD195="Muy Alta",AF195="Menor"),AND(AD195="Muy Alta",AF195="Moderado"),AND(AD195="Muy Alta",AF195="Mayor")),"Alto",IF(OR(AND(AD195="Muy Baja",AF195="Catastrófico"),AND(AD195="Baja",AF195="Catastrófico"),AND(AD195="Media",AF195="Catastrófico"),AND(AD195="Alta",AF195="Catastrófico"),AND(AD195="Muy Alta",AF195="Catastrófico")),"Extremo","")))),"")</f>
        <v>Bajo</v>
      </c>
      <c r="AI195" s="161" t="s">
        <v>29</v>
      </c>
      <c r="AJ195" s="181" t="s">
        <v>631</v>
      </c>
      <c r="AK195" s="185" t="s">
        <v>194</v>
      </c>
      <c r="AL195" s="187">
        <v>45293</v>
      </c>
      <c r="AM195" s="195">
        <v>45657</v>
      </c>
      <c r="AN195" s="183" t="s">
        <v>284</v>
      </c>
      <c r="AO195" s="192" t="s">
        <v>269</v>
      </c>
      <c r="AP195" s="290" t="s">
        <v>632</v>
      </c>
      <c r="AQ195" s="10"/>
      <c r="AR195" s="10"/>
      <c r="AS195" s="10"/>
      <c r="AT195" s="10"/>
      <c r="AU195" s="10"/>
      <c r="AV195" s="10"/>
      <c r="AW195" s="10"/>
      <c r="AX195" s="10"/>
      <c r="AY195" s="10"/>
      <c r="AZ195" s="10"/>
      <c r="BA195" s="10"/>
      <c r="BB195" s="10"/>
      <c r="BC195" s="10"/>
      <c r="BD195" s="10"/>
      <c r="BE195" s="10"/>
      <c r="BF195" s="10"/>
      <c r="BG195" s="10"/>
      <c r="BH195" s="10"/>
      <c r="BI195" s="10"/>
      <c r="BJ195" s="10"/>
      <c r="BK195" s="10"/>
      <c r="BL195" s="10"/>
      <c r="BM195" s="10"/>
      <c r="BN195" s="10"/>
      <c r="BO195" s="10"/>
      <c r="BP195" s="10"/>
      <c r="BQ195" s="10"/>
      <c r="BR195" s="10"/>
      <c r="BS195" s="10"/>
      <c r="BT195" s="10"/>
      <c r="BU195" s="10"/>
    </row>
    <row r="196" spans="1:73" ht="99.75" x14ac:dyDescent="0.2">
      <c r="A196" s="214"/>
      <c r="B196" s="241"/>
      <c r="C196" s="241"/>
      <c r="D196" s="183"/>
      <c r="E196" s="181"/>
      <c r="F196" s="181"/>
      <c r="G196" s="181"/>
      <c r="H196" s="181"/>
      <c r="I196" s="242"/>
      <c r="J196" s="217"/>
      <c r="K196" s="183"/>
      <c r="L196" s="185"/>
      <c r="M196" s="205"/>
      <c r="N196" s="206"/>
      <c r="O196" s="203"/>
      <c r="P196" s="239">
        <f>IF(NOT(ISERROR(MATCH(O196,_xlfn.ANCHORARRAY(#REF!),0))),#REF!&amp;"Por favor no seleccionar los criterios de impacto",O196)</f>
        <v>0</v>
      </c>
      <c r="Q196" s="205"/>
      <c r="R196" s="206"/>
      <c r="S196" s="207"/>
      <c r="T196" s="152">
        <v>2</v>
      </c>
      <c r="U196" s="166" t="s">
        <v>623</v>
      </c>
      <c r="V196" s="153" t="str">
        <f>IF(OR(W196="Preventivo",W196="Detectivo"),"Probabilidad",IF(W196="Correctivo","Impacto",""))</f>
        <v>Probabilidad</v>
      </c>
      <c r="W196" s="154" t="s">
        <v>13</v>
      </c>
      <c r="X196" s="154" t="s">
        <v>8</v>
      </c>
      <c r="Y196" s="155" t="str">
        <f t="shared" ref="Y196:Y200" si="367">IF(AND(W196="Preventivo",X196="Automático"),"50%",IF(AND(W196="Preventivo",X196="Manual"),"40%",IF(AND(W196="Detectivo",X196="Automático"),"40%",IF(AND(W196="Detectivo",X196="Manual"),"30%",IF(AND(W196="Correctivo",X196="Automático"),"35%",IF(AND(W196="Correctivo",X196="Manual"),"25%",""))))))</f>
        <v>40%</v>
      </c>
      <c r="Z196" s="154" t="s">
        <v>18</v>
      </c>
      <c r="AA196" s="154" t="s">
        <v>21</v>
      </c>
      <c r="AB196" s="154" t="s">
        <v>112</v>
      </c>
      <c r="AC196" s="156">
        <f>IFERROR(IF(AND(V195="Probabilidad",V196="Probabilidad"),(AE195-(+AE195*Y196)),IF(V196="Probabilidad",(N195-(+N195*Y196)),IF(V196="Impacto",AE195,""))),"")</f>
        <v>0.14399999999999999</v>
      </c>
      <c r="AD196" s="157" t="str">
        <f t="shared" ref="AD196:AD200" si="368">IFERROR(IF(AC196="","",IF(AC196&lt;=0.2,"Muy Baja",IF(AC196&lt;=0.4,"Baja",IF(AC196&lt;=0.6,"Media",IF(AC196&lt;=0.8,"Alta","Muy Alta"))))),"")</f>
        <v>Muy Baja</v>
      </c>
      <c r="AE196" s="158">
        <f t="shared" ref="AE196:AE200" si="369">+AC196</f>
        <v>0.14399999999999999</v>
      </c>
      <c r="AF196" s="157" t="str">
        <f t="shared" ref="AF196:AF200" si="370">IFERROR(IF(AG196="","",IF(AG196&lt;=0.2,"Leve",IF(AG196&lt;=0.4,"Menor",IF(AG196&lt;=0.6,"Moderado",IF(AG196&lt;=0.8,"Mayor","Catastrófico"))))),"")</f>
        <v>Leve</v>
      </c>
      <c r="AG196" s="158">
        <f>IFERROR(IF(AND(V195="Impacto",V196="Impacto"),(AG195-(+AG195*Y196)),IF(V196="Impacto",(R195-(+R195*Y196)),IF(V196="Probabilidad",AG195,""))),"")</f>
        <v>0.2</v>
      </c>
      <c r="AH196" s="159" t="str">
        <f t="shared" ref="AH196:AH197" si="371">IFERROR(IF(OR(AND(AD196="Muy Baja",AF196="Leve"),AND(AD196="Muy Baja",AF196="Menor"),AND(AD196="Baja",AF196="Leve")),"Bajo",IF(OR(AND(AD196="Muy baja",AF196="Moderado"),AND(AD196="Baja",AF196="Menor"),AND(AD196="Baja",AF196="Moderado"),AND(AD196="Media",AF196="Leve"),AND(AD196="Media",AF196="Menor"),AND(AD196="Media",AF196="Moderado"),AND(AD196="Alta",AF196="Leve"),AND(AD196="Alta",AF196="Menor")),"Moderado",IF(OR(AND(AD196="Muy Baja",AF196="Mayor"),AND(AD196="Baja",AF196="Mayor"),AND(AD196="Media",AF196="Mayor"),AND(AD196="Alta",AF196="Moderado"),AND(AD196="Alta",AF196="Mayor"),AND(AD196="Muy Alta",AF196="Leve"),AND(AD196="Muy Alta",AF196="Menor"),AND(AD196="Muy Alta",AF196="Moderado"),AND(AD196="Muy Alta",AF196="Mayor")),"Alto",IF(OR(AND(AD196="Muy Baja",AF196="Catastrófico"),AND(AD196="Baja",AF196="Catastrófico"),AND(AD196="Media",AF196="Catastrófico"),AND(AD196="Alta",AF196="Catastrófico"),AND(AD196="Muy Alta",AF196="Catastrófico")),"Extremo","")))),"")</f>
        <v>Bajo</v>
      </c>
      <c r="AI196" s="161" t="s">
        <v>29</v>
      </c>
      <c r="AJ196" s="181"/>
      <c r="AK196" s="185"/>
      <c r="AL196" s="187"/>
      <c r="AM196" s="195"/>
      <c r="AN196" s="183"/>
      <c r="AO196" s="192"/>
      <c r="AP196" s="290"/>
    </row>
    <row r="197" spans="1:73" ht="15" customHeight="1" x14ac:dyDescent="0.2">
      <c r="A197" s="214"/>
      <c r="B197" s="241"/>
      <c r="C197" s="241"/>
      <c r="D197" s="183"/>
      <c r="E197" s="181"/>
      <c r="F197" s="181"/>
      <c r="G197" s="181"/>
      <c r="H197" s="181"/>
      <c r="I197" s="242"/>
      <c r="J197" s="217"/>
      <c r="K197" s="183"/>
      <c r="L197" s="185"/>
      <c r="M197" s="205"/>
      <c r="N197" s="206"/>
      <c r="O197" s="203"/>
      <c r="P197" s="239">
        <f>IF(NOT(ISERROR(MATCH(O197,_xlfn.ANCHORARRAY(#REF!),0))),#REF!&amp;"Por favor no seleccionar los criterios de impacto",O197)</f>
        <v>0</v>
      </c>
      <c r="Q197" s="205"/>
      <c r="R197" s="206"/>
      <c r="S197" s="207"/>
      <c r="T197" s="152">
        <v>3</v>
      </c>
      <c r="U197" s="167"/>
      <c r="V197" s="153" t="str">
        <f>IF(OR(W197="Preventivo",W197="Detectivo"),"Probabilidad",IF(W197="Correctivo","Impacto",""))</f>
        <v/>
      </c>
      <c r="W197" s="154"/>
      <c r="X197" s="154"/>
      <c r="Y197" s="155" t="str">
        <f t="shared" si="367"/>
        <v/>
      </c>
      <c r="Z197" s="154"/>
      <c r="AA197" s="154"/>
      <c r="AB197" s="154"/>
      <c r="AC197" s="156" t="str">
        <f>IFERROR(IF(AND(V196="Probabilidad",V197="Probabilidad"),(AE196-(+AE196*Y197)),IF(AND(V196="Impacto",V197="Probabilidad"),(AE195-(+AE195*Y197)),IF(V197="Impacto",AE196,""))),"")</f>
        <v/>
      </c>
      <c r="AD197" s="157" t="str">
        <f t="shared" si="368"/>
        <v/>
      </c>
      <c r="AE197" s="158" t="str">
        <f t="shared" si="369"/>
        <v/>
      </c>
      <c r="AF197" s="157" t="str">
        <f t="shared" si="370"/>
        <v/>
      </c>
      <c r="AG197" s="158" t="str">
        <f>IFERROR(IF(AND(V196="Impacto",V197="Impacto"),(AG196-(+AG196*Y197)),IF(AND(V196="Probabilidad",V197="Impacto"),(AG195-(+AG195*Y197)),IF(V197="Probabilidad",AG196,""))),"")</f>
        <v/>
      </c>
      <c r="AH197" s="159" t="str">
        <f t="shared" si="371"/>
        <v/>
      </c>
      <c r="AI197" s="161"/>
      <c r="AJ197" s="181"/>
      <c r="AK197" s="185"/>
      <c r="AL197" s="187"/>
      <c r="AM197" s="195"/>
      <c r="AN197" s="183"/>
      <c r="AO197" s="192"/>
      <c r="AP197" s="290"/>
    </row>
    <row r="198" spans="1:73" ht="15" customHeight="1" x14ac:dyDescent="0.2">
      <c r="A198" s="214"/>
      <c r="B198" s="241"/>
      <c r="C198" s="241"/>
      <c r="D198" s="183"/>
      <c r="E198" s="181"/>
      <c r="F198" s="181"/>
      <c r="G198" s="181"/>
      <c r="H198" s="181"/>
      <c r="I198" s="242"/>
      <c r="J198" s="217"/>
      <c r="K198" s="183"/>
      <c r="L198" s="185"/>
      <c r="M198" s="205"/>
      <c r="N198" s="206"/>
      <c r="O198" s="203"/>
      <c r="P198" s="239">
        <f>IF(NOT(ISERROR(MATCH(O198,_xlfn.ANCHORARRAY(#REF!),0))),#REF!&amp;"Por favor no seleccionar los criterios de impacto",O198)</f>
        <v>0</v>
      </c>
      <c r="Q198" s="205"/>
      <c r="R198" s="206"/>
      <c r="S198" s="207"/>
      <c r="T198" s="152">
        <v>4</v>
      </c>
      <c r="U198" s="160"/>
      <c r="V198" s="153" t="str">
        <f t="shared" ref="V198:V200" si="372">IF(OR(W198="Preventivo",W198="Detectivo"),"Probabilidad",IF(W198="Correctivo","Impacto",""))</f>
        <v/>
      </c>
      <c r="W198" s="154"/>
      <c r="X198" s="154"/>
      <c r="Y198" s="155" t="str">
        <f t="shared" si="367"/>
        <v/>
      </c>
      <c r="Z198" s="154"/>
      <c r="AA198" s="154"/>
      <c r="AB198" s="154"/>
      <c r="AC198" s="156" t="str">
        <f t="shared" ref="AC198:AC200" si="373">IFERROR(IF(AND(V197="Probabilidad",V198="Probabilidad"),(AE197-(+AE197*Y198)),IF(AND(V197="Impacto",V198="Probabilidad"),(AE196-(+AE196*Y198)),IF(V198="Impacto",AE197,""))),"")</f>
        <v/>
      </c>
      <c r="AD198" s="157" t="str">
        <f t="shared" si="368"/>
        <v/>
      </c>
      <c r="AE198" s="158" t="str">
        <f t="shared" si="369"/>
        <v/>
      </c>
      <c r="AF198" s="157" t="str">
        <f t="shared" si="370"/>
        <v/>
      </c>
      <c r="AG198" s="158" t="str">
        <f t="shared" ref="AG198:AG200" si="374">IFERROR(IF(AND(V197="Impacto",V198="Impacto"),(AG197-(+AG197*Y198)),IF(AND(V197="Probabilidad",V198="Impacto"),(AG196-(+AG196*Y198)),IF(V198="Probabilidad",AG197,""))),"")</f>
        <v/>
      </c>
      <c r="AH198" s="159" t="str">
        <f>IFERROR(IF(OR(AND(AD198="Muy Baja",AF198="Leve"),AND(AD198="Muy Baja",AF198="Menor"),AND(AD198="Baja",AF198="Leve")),"Bajo",IF(OR(AND(AD198="Muy baja",AF198="Moderado"),AND(AD198="Baja",AF198="Menor"),AND(AD198="Baja",AF198="Moderado"),AND(AD198="Media",AF198="Leve"),AND(AD198="Media",AF198="Menor"),AND(AD198="Media",AF198="Moderado"),AND(AD198="Alta",AF198="Leve"),AND(AD198="Alta",AF198="Menor")),"Moderado",IF(OR(AND(AD198="Muy Baja",AF198="Mayor"),AND(AD198="Baja",AF198="Mayor"),AND(AD198="Media",AF198="Mayor"),AND(AD198="Alta",AF198="Moderado"),AND(AD198="Alta",AF198="Mayor"),AND(AD198="Muy Alta",AF198="Leve"),AND(AD198="Muy Alta",AF198="Menor"),AND(AD198="Muy Alta",AF198="Moderado"),AND(AD198="Muy Alta",AF198="Mayor")),"Alto",IF(OR(AND(AD198="Muy Baja",AF198="Catastrófico"),AND(AD198="Baja",AF198="Catastrófico"),AND(AD198="Media",AF198="Catastrófico"),AND(AD198="Alta",AF198="Catastrófico"),AND(AD198="Muy Alta",AF198="Catastrófico")),"Extremo","")))),"")</f>
        <v/>
      </c>
      <c r="AI198" s="161"/>
      <c r="AJ198" s="181"/>
      <c r="AK198" s="185"/>
      <c r="AL198" s="187"/>
      <c r="AM198" s="195"/>
      <c r="AN198" s="183"/>
      <c r="AO198" s="192"/>
      <c r="AP198" s="290"/>
    </row>
    <row r="199" spans="1:73" ht="15" customHeight="1" x14ac:dyDescent="0.2">
      <c r="A199" s="214"/>
      <c r="B199" s="241"/>
      <c r="C199" s="241"/>
      <c r="D199" s="183"/>
      <c r="E199" s="181"/>
      <c r="F199" s="181"/>
      <c r="G199" s="181"/>
      <c r="H199" s="181"/>
      <c r="I199" s="242"/>
      <c r="J199" s="217"/>
      <c r="K199" s="183"/>
      <c r="L199" s="185"/>
      <c r="M199" s="205"/>
      <c r="N199" s="206"/>
      <c r="O199" s="203"/>
      <c r="P199" s="239">
        <f>IF(NOT(ISERROR(MATCH(O199,_xlfn.ANCHORARRAY(#REF!),0))),N202&amp;"Por favor no seleccionar los criterios de impacto",O199)</f>
        <v>0</v>
      </c>
      <c r="Q199" s="205"/>
      <c r="R199" s="206"/>
      <c r="S199" s="207"/>
      <c r="T199" s="152">
        <v>5</v>
      </c>
      <c r="U199" s="160"/>
      <c r="V199" s="153" t="str">
        <f t="shared" si="372"/>
        <v/>
      </c>
      <c r="W199" s="154"/>
      <c r="X199" s="154"/>
      <c r="Y199" s="155" t="str">
        <f t="shared" si="367"/>
        <v/>
      </c>
      <c r="Z199" s="154"/>
      <c r="AA199" s="154"/>
      <c r="AB199" s="154"/>
      <c r="AC199" s="156" t="str">
        <f t="shared" si="373"/>
        <v/>
      </c>
      <c r="AD199" s="157" t="str">
        <f t="shared" si="368"/>
        <v/>
      </c>
      <c r="AE199" s="158" t="str">
        <f t="shared" si="369"/>
        <v/>
      </c>
      <c r="AF199" s="157" t="str">
        <f t="shared" si="370"/>
        <v/>
      </c>
      <c r="AG199" s="158" t="str">
        <f t="shared" si="374"/>
        <v/>
      </c>
      <c r="AH199" s="159" t="str">
        <f t="shared" ref="AH199:AH200" si="375">IFERROR(IF(OR(AND(AD199="Muy Baja",AF199="Leve"),AND(AD199="Muy Baja",AF199="Menor"),AND(AD199="Baja",AF199="Leve")),"Bajo",IF(OR(AND(AD199="Muy baja",AF199="Moderado"),AND(AD199="Baja",AF199="Menor"),AND(AD199="Baja",AF199="Moderado"),AND(AD199="Media",AF199="Leve"),AND(AD199="Media",AF199="Menor"),AND(AD199="Media",AF199="Moderado"),AND(AD199="Alta",AF199="Leve"),AND(AD199="Alta",AF199="Menor")),"Moderado",IF(OR(AND(AD199="Muy Baja",AF199="Mayor"),AND(AD199="Baja",AF199="Mayor"),AND(AD199="Media",AF199="Mayor"),AND(AD199="Alta",AF199="Moderado"),AND(AD199="Alta",AF199="Mayor"),AND(AD199="Muy Alta",AF199="Leve"),AND(AD199="Muy Alta",AF199="Menor"),AND(AD199="Muy Alta",AF199="Moderado"),AND(AD199="Muy Alta",AF199="Mayor")),"Alto",IF(OR(AND(AD199="Muy Baja",AF199="Catastrófico"),AND(AD199="Baja",AF199="Catastrófico"),AND(AD199="Media",AF199="Catastrófico"),AND(AD199="Alta",AF199="Catastrófico"),AND(AD199="Muy Alta",AF199="Catastrófico")),"Extremo","")))),"")</f>
        <v/>
      </c>
      <c r="AI199" s="161"/>
      <c r="AJ199" s="181"/>
      <c r="AK199" s="185"/>
      <c r="AL199" s="187"/>
      <c r="AM199" s="195"/>
      <c r="AN199" s="183"/>
      <c r="AO199" s="192"/>
      <c r="AP199" s="290"/>
    </row>
    <row r="200" spans="1:73" ht="15" customHeight="1" x14ac:dyDescent="0.2">
      <c r="A200" s="214"/>
      <c r="B200" s="241"/>
      <c r="C200" s="241"/>
      <c r="D200" s="183"/>
      <c r="E200" s="181"/>
      <c r="F200" s="181"/>
      <c r="G200" s="181"/>
      <c r="H200" s="181"/>
      <c r="I200" s="242"/>
      <c r="J200" s="217"/>
      <c r="K200" s="183"/>
      <c r="L200" s="185"/>
      <c r="M200" s="205"/>
      <c r="N200" s="206"/>
      <c r="O200" s="203"/>
      <c r="P200" s="239">
        <f>IF(NOT(ISERROR(MATCH(O200,_xlfn.ANCHORARRAY(#REF!),0))),N203&amp;"Por favor no seleccionar los criterios de impacto",O200)</f>
        <v>0</v>
      </c>
      <c r="Q200" s="205"/>
      <c r="R200" s="206"/>
      <c r="S200" s="207"/>
      <c r="T200" s="152">
        <v>6</v>
      </c>
      <c r="U200" s="160"/>
      <c r="V200" s="153" t="str">
        <f t="shared" si="372"/>
        <v/>
      </c>
      <c r="W200" s="154"/>
      <c r="X200" s="154"/>
      <c r="Y200" s="155" t="str">
        <f t="shared" si="367"/>
        <v/>
      </c>
      <c r="Z200" s="154"/>
      <c r="AA200" s="154"/>
      <c r="AB200" s="154"/>
      <c r="AC200" s="156" t="str">
        <f t="shared" si="373"/>
        <v/>
      </c>
      <c r="AD200" s="157" t="str">
        <f t="shared" si="368"/>
        <v/>
      </c>
      <c r="AE200" s="158" t="str">
        <f t="shared" si="369"/>
        <v/>
      </c>
      <c r="AF200" s="157" t="str">
        <f t="shared" si="370"/>
        <v/>
      </c>
      <c r="AG200" s="158" t="str">
        <f t="shared" si="374"/>
        <v/>
      </c>
      <c r="AH200" s="159" t="str">
        <f t="shared" si="375"/>
        <v/>
      </c>
      <c r="AI200" s="161"/>
      <c r="AJ200" s="181"/>
      <c r="AK200" s="185"/>
      <c r="AL200" s="187"/>
      <c r="AM200" s="195"/>
      <c r="AN200" s="183"/>
      <c r="AO200" s="192"/>
      <c r="AP200" s="290"/>
    </row>
    <row r="201" spans="1:73" ht="89.25" customHeight="1" x14ac:dyDescent="0.2">
      <c r="A201" s="214">
        <v>35</v>
      </c>
      <c r="B201" s="241" t="s">
        <v>246</v>
      </c>
      <c r="C201" s="241" t="s">
        <v>590</v>
      </c>
      <c r="D201" s="183" t="s">
        <v>266</v>
      </c>
      <c r="E201" s="197" t="s">
        <v>611</v>
      </c>
      <c r="F201" s="197" t="s">
        <v>612</v>
      </c>
      <c r="G201" s="197" t="s">
        <v>613</v>
      </c>
      <c r="H201" s="197" t="s">
        <v>614</v>
      </c>
      <c r="I201" s="289" t="s">
        <v>615</v>
      </c>
      <c r="J201" s="217" t="s">
        <v>230</v>
      </c>
      <c r="K201" s="269" t="s">
        <v>227</v>
      </c>
      <c r="L201" s="185">
        <v>1</v>
      </c>
      <c r="M201" s="205" t="str">
        <f t="shared" ref="M201" si="376">IF(L201&lt;=0,"",IF(L201&lt;=2,"Muy Baja",IF(L201&lt;=24,"Baja",IF(L201&lt;=500,"Media",IF(L201&lt;=5000,"Alta","Muy Alta")))))</f>
        <v>Muy Baja</v>
      </c>
      <c r="N201" s="206">
        <f t="shared" ref="N201" si="377">IF(M201="","",IF(M201="Muy Baja",0.2,IF(M201="Baja",0.4,IF(M201="Media",0.6,IF(M201="Alta",0.8,IF(M201="Muy Alta",1,))))))</f>
        <v>0.2</v>
      </c>
      <c r="O201" s="203" t="s">
        <v>132</v>
      </c>
      <c r="P201" s="239" t="str">
        <f>IF(NOT(ISERROR(MATCH(O201,'Tabla Impacto'!$B$221:$B$223,0))),'Tabla Impacto'!$F$223&amp;"Por favor no seleccionar los criterios de impacto(Afectación Económica o presupuestal y Pérdida Reputacional)",O201)</f>
        <v xml:space="preserve">     El riesgo afecta la imagen de alguna área de la organización</v>
      </c>
      <c r="Q201" s="205" t="str">
        <f>IF(OR(P201='Tabla Impacto'!$C$11,P201='Tabla Impacto'!$D$11),"Leve",IF(OR(P201='Tabla Impacto'!$C$12,P201='Tabla Impacto'!$D$12),"Menor",IF(OR(P201='Tabla Impacto'!$C$13,P201='Tabla Impacto'!$D$13),"Moderado",IF(OR(P201='Tabla Impacto'!$C$14,P201='Tabla Impacto'!$D$14),"Mayor",IF(OR(P201='Tabla Impacto'!$C$15,P201='Tabla Impacto'!$D$15),"Catastrófico","")))))</f>
        <v>Leve</v>
      </c>
      <c r="R201" s="206">
        <f t="shared" ref="R201" si="378">IF(Q201="","",IF(Q201="Leve",0.2,IF(Q201="Menor",0.4,IF(Q201="Moderado",0.6,IF(Q201="Mayor",0.8,IF(Q201="Catastrófico",1,))))))</f>
        <v>0.2</v>
      </c>
      <c r="S201" s="207" t="str">
        <f t="shared" ref="S201" si="379">IF(OR(AND(M201="Muy Baja",Q201="Leve"),AND(M201="Muy Baja",Q201="Menor"),AND(M201="Baja",Q201="Leve")),"Bajo",IF(OR(AND(M201="Muy baja",Q201="Moderado"),AND(M201="Baja",Q201="Menor"),AND(M201="Baja",Q201="Moderado"),AND(M201="Media",Q201="Leve"),AND(M201="Media",Q201="Menor"),AND(M201="Media",Q201="Moderado"),AND(M201="Alta",Q201="Leve"),AND(M201="Alta",Q201="Menor")),"Moderado",IF(OR(AND(M201="Muy Baja",Q201="Mayor"),AND(M201="Baja",Q201="Mayor"),AND(M201="Media",Q201="Mayor"),AND(M201="Alta",Q201="Moderado"),AND(M201="Alta",Q201="Mayor"),AND(M201="Muy Alta",Q201="Leve"),AND(M201="Muy Alta",Q201="Menor"),AND(M201="Muy Alta",Q201="Moderado"),AND(M201="Muy Alta",Q201="Mayor")),"Alto",IF(OR(AND(M201="Muy Baja",Q201="Catastrófico"),AND(M201="Baja",Q201="Catastrófico"),AND(M201="Media",Q201="Catastrófico"),AND(M201="Alta",Q201="Catastrófico"),AND(M201="Muy Alta",Q201="Catastrófico")),"Extremo",""))))</f>
        <v>Bajo</v>
      </c>
      <c r="T201" s="152">
        <v>1</v>
      </c>
      <c r="U201" s="166" t="s">
        <v>624</v>
      </c>
      <c r="V201" s="153" t="str">
        <f>IF(OR(W201="Preventivo",W201="Detectivo"),"Probabilidad",IF(W201="Correctivo","Impacto",""))</f>
        <v>Probabilidad</v>
      </c>
      <c r="W201" s="154" t="s">
        <v>13</v>
      </c>
      <c r="X201" s="154" t="s">
        <v>8</v>
      </c>
      <c r="Y201" s="155" t="str">
        <f>IF(AND(W201="Preventivo",X201="Automático"),"50%",IF(AND(W201="Preventivo",X201="Manual"),"40%",IF(AND(W201="Detectivo",X201="Automático"),"40%",IF(AND(W201="Detectivo",X201="Manual"),"30%",IF(AND(W201="Correctivo",X201="Automático"),"35%",IF(AND(W201="Correctivo",X201="Manual"),"25%",""))))))</f>
        <v>40%</v>
      </c>
      <c r="Z201" s="154" t="s">
        <v>19</v>
      </c>
      <c r="AA201" s="154" t="s">
        <v>21</v>
      </c>
      <c r="AB201" s="154" t="s">
        <v>113</v>
      </c>
      <c r="AC201" s="156">
        <f>IFERROR(IF(V201="Probabilidad",(N201-(+N201*Y201)),IF(V201="Impacto",N201,"")),"")</f>
        <v>0.12</v>
      </c>
      <c r="AD201" s="157" t="str">
        <f>IFERROR(IF(AC201="","",IF(AC201&lt;=0.2,"Muy Baja",IF(AC201&lt;=0.4,"Baja",IF(AC201&lt;=0.6,"Media",IF(AC201&lt;=0.8,"Alta","Muy Alta"))))),"")</f>
        <v>Muy Baja</v>
      </c>
      <c r="AE201" s="158">
        <f>+AC201</f>
        <v>0.12</v>
      </c>
      <c r="AF201" s="157" t="str">
        <f>IFERROR(IF(AG201="","",IF(AG201&lt;=0.2,"Leve",IF(AG201&lt;=0.4,"Menor",IF(AG201&lt;=0.6,"Moderado",IF(AG201&lt;=0.8,"Mayor","Catastrófico"))))),"")</f>
        <v>Leve</v>
      </c>
      <c r="AG201" s="158">
        <f>IFERROR(IF(V201="Impacto",(R201-(+R201*Y201)),IF(V201="Probabilidad",R201,"")),"")</f>
        <v>0.2</v>
      </c>
      <c r="AH201" s="159" t="str">
        <f>IFERROR(IF(OR(AND(AD201="Muy Baja",AF201="Leve"),AND(AD201="Muy Baja",AF201="Menor"),AND(AD201="Baja",AF201="Leve")),"Bajo",IF(OR(AND(AD201="Muy baja",AF201="Moderado"),AND(AD201="Baja",AF201="Menor"),AND(AD201="Baja",AF201="Moderado"),AND(AD201="Media",AF201="Leve"),AND(AD201="Media",AF201="Menor"),AND(AD201="Media",AF201="Moderado"),AND(AD201="Alta",AF201="Leve"),AND(AD201="Alta",AF201="Menor")),"Moderado",IF(OR(AND(AD201="Muy Baja",AF201="Mayor"),AND(AD201="Baja",AF201="Mayor"),AND(AD201="Media",AF201="Mayor"),AND(AD201="Alta",AF201="Moderado"),AND(AD201="Alta",AF201="Mayor"),AND(AD201="Muy Alta",AF201="Leve"),AND(AD201="Muy Alta",AF201="Menor"),AND(AD201="Muy Alta",AF201="Moderado"),AND(AD201="Muy Alta",AF201="Mayor")),"Alto",IF(OR(AND(AD201="Muy Baja",AF201="Catastrófico"),AND(AD201="Baja",AF201="Catastrófico"),AND(AD201="Media",AF201="Catastrófico"),AND(AD201="Alta",AF201="Catastrófico"),AND(AD201="Muy Alta",AF201="Catastrófico")),"Extremo","")))),"")</f>
        <v>Bajo</v>
      </c>
      <c r="AI201" s="161" t="s">
        <v>29</v>
      </c>
      <c r="AJ201" s="181" t="s">
        <v>633</v>
      </c>
      <c r="AK201" s="185" t="s">
        <v>194</v>
      </c>
      <c r="AL201" s="187">
        <v>45293</v>
      </c>
      <c r="AM201" s="195">
        <v>45657</v>
      </c>
      <c r="AN201" s="183" t="s">
        <v>284</v>
      </c>
      <c r="AO201" s="192" t="s">
        <v>269</v>
      </c>
      <c r="AP201" s="290" t="s">
        <v>634</v>
      </c>
      <c r="AQ201" s="10"/>
      <c r="AR201" s="10"/>
      <c r="AS201" s="10"/>
      <c r="AT201" s="10"/>
      <c r="AU201" s="10"/>
      <c r="AV201" s="10"/>
      <c r="AW201" s="10"/>
      <c r="AX201" s="10"/>
      <c r="AY201" s="10"/>
      <c r="AZ201" s="10"/>
      <c r="BA201" s="10"/>
      <c r="BB201" s="10"/>
      <c r="BC201" s="10"/>
      <c r="BD201" s="10"/>
      <c r="BE201" s="10"/>
      <c r="BF201" s="10"/>
      <c r="BG201" s="10"/>
      <c r="BH201" s="10"/>
      <c r="BI201" s="10"/>
      <c r="BJ201" s="10"/>
      <c r="BK201" s="10"/>
      <c r="BL201" s="10"/>
      <c r="BM201" s="10"/>
      <c r="BN201" s="10"/>
      <c r="BO201" s="10"/>
      <c r="BP201" s="10"/>
      <c r="BQ201" s="10"/>
      <c r="BR201" s="10"/>
      <c r="BS201" s="10"/>
      <c r="BT201" s="10"/>
      <c r="BU201" s="10"/>
    </row>
    <row r="202" spans="1:73" ht="15" customHeight="1" x14ac:dyDescent="0.2">
      <c r="A202" s="214"/>
      <c r="B202" s="241"/>
      <c r="C202" s="241"/>
      <c r="D202" s="183"/>
      <c r="E202" s="197"/>
      <c r="F202" s="197"/>
      <c r="G202" s="197"/>
      <c r="H202" s="197"/>
      <c r="I202" s="289"/>
      <c r="J202" s="217"/>
      <c r="K202" s="269"/>
      <c r="L202" s="185"/>
      <c r="M202" s="205"/>
      <c r="N202" s="206"/>
      <c r="O202" s="203"/>
      <c r="P202" s="239">
        <f>IF(NOT(ISERROR(MATCH(O202,_xlfn.ANCHORARRAY(#REF!),0))),#REF!&amp;"Por favor no seleccionar los criterios de impacto",O202)</f>
        <v>0</v>
      </c>
      <c r="Q202" s="205"/>
      <c r="R202" s="206"/>
      <c r="S202" s="207"/>
      <c r="T202" s="152">
        <v>2</v>
      </c>
      <c r="U202" s="173"/>
      <c r="V202" s="153" t="str">
        <f>IF(OR(W202="Preventivo",W202="Detectivo"),"Probabilidad",IF(W202="Correctivo","Impacto",""))</f>
        <v/>
      </c>
      <c r="W202" s="145"/>
      <c r="X202" s="145"/>
      <c r="Y202" s="155" t="str">
        <f t="shared" ref="Y202:Y206" si="380">IF(AND(W202="Preventivo",X202="Automático"),"50%",IF(AND(W202="Preventivo",X202="Manual"),"40%",IF(AND(W202="Detectivo",X202="Automático"),"40%",IF(AND(W202="Detectivo",X202="Manual"),"30%",IF(AND(W202="Correctivo",X202="Automático"),"35%",IF(AND(W202="Correctivo",X202="Manual"),"25%",""))))))</f>
        <v/>
      </c>
      <c r="Z202" s="145"/>
      <c r="AA202" s="145"/>
      <c r="AB202" s="145"/>
      <c r="AC202" s="156" t="str">
        <f>IFERROR(IF(AND(V201="Probabilidad",V202="Probabilidad"),(AE201-(+AE201*Y202)),IF(V202="Probabilidad",(N201-(+N201*Y202)),IF(V202="Impacto",AE201,""))),"")</f>
        <v/>
      </c>
      <c r="AD202" s="157" t="str">
        <f t="shared" ref="AD202:AD206" si="381">IFERROR(IF(AC202="","",IF(AC202&lt;=0.2,"Muy Baja",IF(AC202&lt;=0.4,"Baja",IF(AC202&lt;=0.6,"Media",IF(AC202&lt;=0.8,"Alta","Muy Alta"))))),"")</f>
        <v/>
      </c>
      <c r="AE202" s="158" t="str">
        <f t="shared" ref="AE202:AE206" si="382">+AC202</f>
        <v/>
      </c>
      <c r="AF202" s="157" t="str">
        <f t="shared" ref="AF202:AF206" si="383">IFERROR(IF(AG202="","",IF(AG202&lt;=0.2,"Leve",IF(AG202&lt;=0.4,"Menor",IF(AG202&lt;=0.6,"Moderado",IF(AG202&lt;=0.8,"Mayor","Catastrófico"))))),"")</f>
        <v/>
      </c>
      <c r="AG202" s="158" t="str">
        <f>IFERROR(IF(AND(V201="Impacto",V202="Impacto"),(AG201-(+AG201*Y202)),IF(V202="Impacto",(R201-(+R201*Y202)),IF(V202="Probabilidad",AG201,""))),"")</f>
        <v/>
      </c>
      <c r="AH202" s="159" t="str">
        <f t="shared" ref="AH202:AH203" si="384">IFERROR(IF(OR(AND(AD202="Muy Baja",AF202="Leve"),AND(AD202="Muy Baja",AF202="Menor"),AND(AD202="Baja",AF202="Leve")),"Bajo",IF(OR(AND(AD202="Muy baja",AF202="Moderado"),AND(AD202="Baja",AF202="Menor"),AND(AD202="Baja",AF202="Moderado"),AND(AD202="Media",AF202="Leve"),AND(AD202="Media",AF202="Menor"),AND(AD202="Media",AF202="Moderado"),AND(AD202="Alta",AF202="Leve"),AND(AD202="Alta",AF202="Menor")),"Moderado",IF(OR(AND(AD202="Muy Baja",AF202="Mayor"),AND(AD202="Baja",AF202="Mayor"),AND(AD202="Media",AF202="Mayor"),AND(AD202="Alta",AF202="Moderado"),AND(AD202="Alta",AF202="Mayor"),AND(AD202="Muy Alta",AF202="Leve"),AND(AD202="Muy Alta",AF202="Menor"),AND(AD202="Muy Alta",AF202="Moderado"),AND(AD202="Muy Alta",AF202="Mayor")),"Alto",IF(OR(AND(AD202="Muy Baja",AF202="Catastrófico"),AND(AD202="Baja",AF202="Catastrófico"),AND(AD202="Media",AF202="Catastrófico"),AND(AD202="Alta",AF202="Catastrófico"),AND(AD202="Muy Alta",AF202="Catastrófico")),"Extremo","")))),"")</f>
        <v/>
      </c>
      <c r="AI202" s="151"/>
      <c r="AJ202" s="181"/>
      <c r="AK202" s="185"/>
      <c r="AL202" s="187"/>
      <c r="AM202" s="195"/>
      <c r="AN202" s="183"/>
      <c r="AO202" s="192"/>
      <c r="AP202" s="290"/>
    </row>
    <row r="203" spans="1:73" ht="15" customHeight="1" x14ac:dyDescent="0.2">
      <c r="A203" s="214"/>
      <c r="B203" s="241"/>
      <c r="C203" s="241"/>
      <c r="D203" s="183"/>
      <c r="E203" s="197"/>
      <c r="F203" s="197"/>
      <c r="G203" s="197"/>
      <c r="H203" s="197"/>
      <c r="I203" s="289"/>
      <c r="J203" s="217"/>
      <c r="K203" s="269"/>
      <c r="L203" s="185"/>
      <c r="M203" s="205"/>
      <c r="N203" s="206"/>
      <c r="O203" s="203"/>
      <c r="P203" s="239">
        <f>IF(NOT(ISERROR(MATCH(O203,_xlfn.ANCHORARRAY(#REF!),0))),#REF!&amp;"Por favor no seleccionar los criterios de impacto",O203)</f>
        <v>0</v>
      </c>
      <c r="Q203" s="205"/>
      <c r="R203" s="206"/>
      <c r="S203" s="207"/>
      <c r="T203" s="152">
        <v>3</v>
      </c>
      <c r="U203" s="167"/>
      <c r="V203" s="153" t="str">
        <f>IF(OR(W203="Preventivo",W203="Detectivo"),"Probabilidad",IF(W203="Correctivo","Impacto",""))</f>
        <v/>
      </c>
      <c r="W203" s="154"/>
      <c r="X203" s="154"/>
      <c r="Y203" s="155" t="str">
        <f t="shared" si="380"/>
        <v/>
      </c>
      <c r="Z203" s="154"/>
      <c r="AA203" s="154"/>
      <c r="AB203" s="154"/>
      <c r="AC203" s="156" t="str">
        <f>IFERROR(IF(AND(V202="Probabilidad",V203="Probabilidad"),(AE202-(+AE202*Y203)),IF(AND(V202="Impacto",V203="Probabilidad"),(AE201-(+AE201*Y203)),IF(V203="Impacto",AE202,""))),"")</f>
        <v/>
      </c>
      <c r="AD203" s="157" t="str">
        <f t="shared" si="381"/>
        <v/>
      </c>
      <c r="AE203" s="158" t="str">
        <f t="shared" si="382"/>
        <v/>
      </c>
      <c r="AF203" s="157" t="str">
        <f t="shared" si="383"/>
        <v/>
      </c>
      <c r="AG203" s="158" t="str">
        <f>IFERROR(IF(AND(V202="Impacto",V203="Impacto"),(AG202-(+AG202*Y203)),IF(AND(V202="Probabilidad",V203="Impacto"),(AG201-(+AG201*Y203)),IF(V203="Probabilidad",AG202,""))),"")</f>
        <v/>
      </c>
      <c r="AH203" s="159" t="str">
        <f t="shared" si="384"/>
        <v/>
      </c>
      <c r="AI203" s="161"/>
      <c r="AJ203" s="181"/>
      <c r="AK203" s="185"/>
      <c r="AL203" s="187"/>
      <c r="AM203" s="195"/>
      <c r="AN203" s="183"/>
      <c r="AO203" s="192"/>
      <c r="AP203" s="290"/>
    </row>
    <row r="204" spans="1:73" ht="15" customHeight="1" x14ac:dyDescent="0.2">
      <c r="A204" s="214"/>
      <c r="B204" s="241"/>
      <c r="C204" s="241"/>
      <c r="D204" s="183"/>
      <c r="E204" s="197"/>
      <c r="F204" s="197"/>
      <c r="G204" s="197"/>
      <c r="H204" s="197"/>
      <c r="I204" s="289"/>
      <c r="J204" s="217"/>
      <c r="K204" s="269"/>
      <c r="L204" s="185"/>
      <c r="M204" s="205"/>
      <c r="N204" s="206"/>
      <c r="O204" s="203"/>
      <c r="P204" s="239">
        <f>IF(NOT(ISERROR(MATCH(O204,_xlfn.ANCHORARRAY(#REF!),0))),#REF!&amp;"Por favor no seleccionar los criterios de impacto",O204)</f>
        <v>0</v>
      </c>
      <c r="Q204" s="205"/>
      <c r="R204" s="206"/>
      <c r="S204" s="207"/>
      <c r="T204" s="152">
        <v>4</v>
      </c>
      <c r="U204" s="160"/>
      <c r="V204" s="153" t="str">
        <f t="shared" ref="V204:V206" si="385">IF(OR(W204="Preventivo",W204="Detectivo"),"Probabilidad",IF(W204="Correctivo","Impacto",""))</f>
        <v/>
      </c>
      <c r="W204" s="154"/>
      <c r="X204" s="154"/>
      <c r="Y204" s="155" t="str">
        <f t="shared" si="380"/>
        <v/>
      </c>
      <c r="Z204" s="154"/>
      <c r="AA204" s="154"/>
      <c r="AB204" s="154"/>
      <c r="AC204" s="156" t="str">
        <f t="shared" ref="AC204:AC206" si="386">IFERROR(IF(AND(V203="Probabilidad",V204="Probabilidad"),(AE203-(+AE203*Y204)),IF(AND(V203="Impacto",V204="Probabilidad"),(AE202-(+AE202*Y204)),IF(V204="Impacto",AE203,""))),"")</f>
        <v/>
      </c>
      <c r="AD204" s="157" t="str">
        <f t="shared" si="381"/>
        <v/>
      </c>
      <c r="AE204" s="158" t="str">
        <f t="shared" si="382"/>
        <v/>
      </c>
      <c r="AF204" s="157" t="str">
        <f t="shared" si="383"/>
        <v/>
      </c>
      <c r="AG204" s="158" t="str">
        <f t="shared" ref="AG204:AG206" si="387">IFERROR(IF(AND(V203="Impacto",V204="Impacto"),(AG203-(+AG203*Y204)),IF(AND(V203="Probabilidad",V204="Impacto"),(AG202-(+AG202*Y204)),IF(V204="Probabilidad",AG203,""))),"")</f>
        <v/>
      </c>
      <c r="AH204" s="159" t="str">
        <f>IFERROR(IF(OR(AND(AD204="Muy Baja",AF204="Leve"),AND(AD204="Muy Baja",AF204="Menor"),AND(AD204="Baja",AF204="Leve")),"Bajo",IF(OR(AND(AD204="Muy baja",AF204="Moderado"),AND(AD204="Baja",AF204="Menor"),AND(AD204="Baja",AF204="Moderado"),AND(AD204="Media",AF204="Leve"),AND(AD204="Media",AF204="Menor"),AND(AD204="Media",AF204="Moderado"),AND(AD204="Alta",AF204="Leve"),AND(AD204="Alta",AF204="Menor")),"Moderado",IF(OR(AND(AD204="Muy Baja",AF204="Mayor"),AND(AD204="Baja",AF204="Mayor"),AND(AD204="Media",AF204="Mayor"),AND(AD204="Alta",AF204="Moderado"),AND(AD204="Alta",AF204="Mayor"),AND(AD204="Muy Alta",AF204="Leve"),AND(AD204="Muy Alta",AF204="Menor"),AND(AD204="Muy Alta",AF204="Moderado"),AND(AD204="Muy Alta",AF204="Mayor")),"Alto",IF(OR(AND(AD204="Muy Baja",AF204="Catastrófico"),AND(AD204="Baja",AF204="Catastrófico"),AND(AD204="Media",AF204="Catastrófico"),AND(AD204="Alta",AF204="Catastrófico"),AND(AD204="Muy Alta",AF204="Catastrófico")),"Extremo","")))),"")</f>
        <v/>
      </c>
      <c r="AI204" s="161"/>
      <c r="AJ204" s="181"/>
      <c r="AK204" s="185"/>
      <c r="AL204" s="187"/>
      <c r="AM204" s="195"/>
      <c r="AN204" s="183"/>
      <c r="AO204" s="192"/>
      <c r="AP204" s="290"/>
    </row>
    <row r="205" spans="1:73" ht="15" customHeight="1" x14ac:dyDescent="0.2">
      <c r="A205" s="214"/>
      <c r="B205" s="241"/>
      <c r="C205" s="241"/>
      <c r="D205" s="183"/>
      <c r="E205" s="197"/>
      <c r="F205" s="197"/>
      <c r="G205" s="197"/>
      <c r="H205" s="197"/>
      <c r="I205" s="289"/>
      <c r="J205" s="217"/>
      <c r="K205" s="269"/>
      <c r="L205" s="185"/>
      <c r="M205" s="205"/>
      <c r="N205" s="206"/>
      <c r="O205" s="203"/>
      <c r="P205" s="239">
        <f>IF(NOT(ISERROR(MATCH(O205,_xlfn.ANCHORARRAY(#REF!),0))),N208&amp;"Por favor no seleccionar los criterios de impacto",O205)</f>
        <v>0</v>
      </c>
      <c r="Q205" s="205"/>
      <c r="R205" s="206"/>
      <c r="S205" s="207"/>
      <c r="T205" s="152">
        <v>5</v>
      </c>
      <c r="U205" s="160"/>
      <c r="V205" s="153" t="str">
        <f t="shared" si="385"/>
        <v/>
      </c>
      <c r="W205" s="154"/>
      <c r="X205" s="154"/>
      <c r="Y205" s="155" t="str">
        <f t="shared" si="380"/>
        <v/>
      </c>
      <c r="Z205" s="154"/>
      <c r="AA205" s="154"/>
      <c r="AB205" s="154"/>
      <c r="AC205" s="156" t="str">
        <f t="shared" si="386"/>
        <v/>
      </c>
      <c r="AD205" s="157" t="str">
        <f t="shared" si="381"/>
        <v/>
      </c>
      <c r="AE205" s="158" t="str">
        <f t="shared" si="382"/>
        <v/>
      </c>
      <c r="AF205" s="157" t="str">
        <f t="shared" si="383"/>
        <v/>
      </c>
      <c r="AG205" s="158" t="str">
        <f t="shared" si="387"/>
        <v/>
      </c>
      <c r="AH205" s="159" t="str">
        <f t="shared" ref="AH205:AH206" si="388">IFERROR(IF(OR(AND(AD205="Muy Baja",AF205="Leve"),AND(AD205="Muy Baja",AF205="Menor"),AND(AD205="Baja",AF205="Leve")),"Bajo",IF(OR(AND(AD205="Muy baja",AF205="Moderado"),AND(AD205="Baja",AF205="Menor"),AND(AD205="Baja",AF205="Moderado"),AND(AD205="Media",AF205="Leve"),AND(AD205="Media",AF205="Menor"),AND(AD205="Media",AF205="Moderado"),AND(AD205="Alta",AF205="Leve"),AND(AD205="Alta",AF205="Menor")),"Moderado",IF(OR(AND(AD205="Muy Baja",AF205="Mayor"),AND(AD205="Baja",AF205="Mayor"),AND(AD205="Media",AF205="Mayor"),AND(AD205="Alta",AF205="Moderado"),AND(AD205="Alta",AF205="Mayor"),AND(AD205="Muy Alta",AF205="Leve"),AND(AD205="Muy Alta",AF205="Menor"),AND(AD205="Muy Alta",AF205="Moderado"),AND(AD205="Muy Alta",AF205="Mayor")),"Alto",IF(OR(AND(AD205="Muy Baja",AF205="Catastrófico"),AND(AD205="Baja",AF205="Catastrófico"),AND(AD205="Media",AF205="Catastrófico"),AND(AD205="Alta",AF205="Catastrófico"),AND(AD205="Muy Alta",AF205="Catastrófico")),"Extremo","")))),"")</f>
        <v/>
      </c>
      <c r="AI205" s="161"/>
      <c r="AJ205" s="181"/>
      <c r="AK205" s="185"/>
      <c r="AL205" s="187"/>
      <c r="AM205" s="195"/>
      <c r="AN205" s="183"/>
      <c r="AO205" s="192"/>
      <c r="AP205" s="290"/>
    </row>
    <row r="206" spans="1:73" ht="15" customHeight="1" x14ac:dyDescent="0.2">
      <c r="A206" s="214"/>
      <c r="B206" s="241"/>
      <c r="C206" s="241"/>
      <c r="D206" s="183"/>
      <c r="E206" s="197"/>
      <c r="F206" s="197"/>
      <c r="G206" s="197"/>
      <c r="H206" s="197"/>
      <c r="I206" s="289"/>
      <c r="J206" s="217"/>
      <c r="K206" s="269"/>
      <c r="L206" s="185"/>
      <c r="M206" s="205"/>
      <c r="N206" s="206"/>
      <c r="O206" s="203"/>
      <c r="P206" s="239">
        <f>IF(NOT(ISERROR(MATCH(O206,_xlfn.ANCHORARRAY(#REF!),0))),N209&amp;"Por favor no seleccionar los criterios de impacto",O206)</f>
        <v>0</v>
      </c>
      <c r="Q206" s="205"/>
      <c r="R206" s="206"/>
      <c r="S206" s="207"/>
      <c r="T206" s="152">
        <v>6</v>
      </c>
      <c r="U206" s="160"/>
      <c r="V206" s="153" t="str">
        <f t="shared" si="385"/>
        <v/>
      </c>
      <c r="W206" s="154"/>
      <c r="X206" s="154"/>
      <c r="Y206" s="155" t="str">
        <f t="shared" si="380"/>
        <v/>
      </c>
      <c r="Z206" s="154"/>
      <c r="AA206" s="154"/>
      <c r="AB206" s="154"/>
      <c r="AC206" s="156" t="str">
        <f t="shared" si="386"/>
        <v/>
      </c>
      <c r="AD206" s="157" t="str">
        <f t="shared" si="381"/>
        <v/>
      </c>
      <c r="AE206" s="158" t="str">
        <f t="shared" si="382"/>
        <v/>
      </c>
      <c r="AF206" s="157" t="str">
        <f t="shared" si="383"/>
        <v/>
      </c>
      <c r="AG206" s="158" t="str">
        <f t="shared" si="387"/>
        <v/>
      </c>
      <c r="AH206" s="159" t="str">
        <f t="shared" si="388"/>
        <v/>
      </c>
      <c r="AI206" s="161"/>
      <c r="AJ206" s="181"/>
      <c r="AK206" s="185"/>
      <c r="AL206" s="187"/>
      <c r="AM206" s="195"/>
      <c r="AN206" s="183"/>
      <c r="AO206" s="192"/>
      <c r="AP206" s="290"/>
    </row>
    <row r="207" spans="1:73" ht="107.25" customHeight="1" x14ac:dyDescent="0.2">
      <c r="A207" s="214">
        <v>36</v>
      </c>
      <c r="B207" s="241" t="s">
        <v>247</v>
      </c>
      <c r="C207" s="241" t="s">
        <v>635</v>
      </c>
      <c r="D207" s="183" t="s">
        <v>268</v>
      </c>
      <c r="E207" s="180" t="s">
        <v>636</v>
      </c>
      <c r="F207" s="180" t="s">
        <v>637</v>
      </c>
      <c r="G207" s="180" t="s">
        <v>638</v>
      </c>
      <c r="H207" s="196" t="s">
        <v>639</v>
      </c>
      <c r="I207" s="246" t="s">
        <v>640</v>
      </c>
      <c r="J207" s="218" t="s">
        <v>230</v>
      </c>
      <c r="K207" s="184" t="s">
        <v>227</v>
      </c>
      <c r="L207" s="186">
        <v>500</v>
      </c>
      <c r="M207" s="205" t="str">
        <f t="shared" ref="M207" si="389">IF(L207&lt;=0,"",IF(L207&lt;=2,"Muy Baja",IF(L207&lt;=24,"Baja",IF(L207&lt;=500,"Media",IF(L207&lt;=5000,"Alta","Muy Alta")))))</f>
        <v>Media</v>
      </c>
      <c r="N207" s="206">
        <f t="shared" ref="N207" si="390">IF(M207="","",IF(M207="Muy Baja",0.2,IF(M207="Baja",0.4,IF(M207="Media",0.6,IF(M207="Alta",0.8,IF(M207="Muy Alta",1,))))))</f>
        <v>0.6</v>
      </c>
      <c r="O207" s="211" t="s">
        <v>130</v>
      </c>
      <c r="P207" s="239" t="str">
        <f>IF(NOT(ISERROR(MATCH(O207,'Tabla Impacto'!$B$221:$B$223,0))),'Tabla Impacto'!$F$223&amp;"Por favor no seleccionar los criterios de impacto(Afectación Económica o presupuestal y Pérdida Reputacional)",O207)</f>
        <v xml:space="preserve">     Entre 100 y 500 SMLMV </v>
      </c>
      <c r="Q207" s="205" t="str">
        <f>IF(OR(P207='Tabla Impacto'!$C$11,P207='Tabla Impacto'!$D$11),"Leve",IF(OR(P207='Tabla Impacto'!$C$12,P207='Tabla Impacto'!$D$12),"Menor",IF(OR(P207='Tabla Impacto'!$C$13,P207='Tabla Impacto'!$D$13),"Moderado",IF(OR(P207='Tabla Impacto'!$C$14,P207='Tabla Impacto'!$D$14),"Mayor",IF(OR(P207='Tabla Impacto'!$C$15,P207='Tabla Impacto'!$D$15),"Catastrófico","")))))</f>
        <v>Mayor</v>
      </c>
      <c r="R207" s="206">
        <f t="shared" ref="R207" si="391">IF(Q207="","",IF(Q207="Leve",0.2,IF(Q207="Menor",0.4,IF(Q207="Moderado",0.6,IF(Q207="Mayor",0.8,IF(Q207="Catastrófico",1,))))))</f>
        <v>0.8</v>
      </c>
      <c r="S207" s="207" t="str">
        <f t="shared" ref="S207" si="392">IF(OR(AND(M207="Muy Baja",Q207="Leve"),AND(M207="Muy Baja",Q207="Menor"),AND(M207="Baja",Q207="Leve")),"Bajo",IF(OR(AND(M207="Muy baja",Q207="Moderado"),AND(M207="Baja",Q207="Menor"),AND(M207="Baja",Q207="Moderado"),AND(M207="Media",Q207="Leve"),AND(M207="Media",Q207="Menor"),AND(M207="Media",Q207="Moderado"),AND(M207="Alta",Q207="Leve"),AND(M207="Alta",Q207="Menor")),"Moderado",IF(OR(AND(M207="Muy Baja",Q207="Mayor"),AND(M207="Baja",Q207="Mayor"),AND(M207="Media",Q207="Mayor"),AND(M207="Alta",Q207="Moderado"),AND(M207="Alta",Q207="Mayor"),AND(M207="Muy Alta",Q207="Leve"),AND(M207="Muy Alta",Q207="Menor"),AND(M207="Muy Alta",Q207="Moderado"),AND(M207="Muy Alta",Q207="Mayor")),"Alto",IF(OR(AND(M207="Muy Baja",Q207="Catastrófico"),AND(M207="Baja",Q207="Catastrófico"),AND(M207="Media",Q207="Catastrófico"),AND(M207="Alta",Q207="Catastrófico"),AND(M207="Muy Alta",Q207="Catastrófico")),"Extremo",""))))</f>
        <v>Alto</v>
      </c>
      <c r="T207" s="152">
        <v>1</v>
      </c>
      <c r="U207" s="173" t="s">
        <v>666</v>
      </c>
      <c r="V207" s="153" t="str">
        <f>IF(OR(W207="Preventivo",W207="Detectivo"),"Probabilidad",IF(W207="Correctivo","Impacto",""))</f>
        <v>Probabilidad</v>
      </c>
      <c r="W207" s="145" t="s">
        <v>13</v>
      </c>
      <c r="X207" s="145" t="s">
        <v>8</v>
      </c>
      <c r="Y207" s="155" t="str">
        <f>IF(AND(W207="Preventivo",X207="Automático"),"50%",IF(AND(W207="Preventivo",X207="Manual"),"40%",IF(AND(W207="Detectivo",X207="Automático"),"40%",IF(AND(W207="Detectivo",X207="Manual"),"30%",IF(AND(W207="Correctivo",X207="Automático"),"35%",IF(AND(W207="Correctivo",X207="Manual"),"25%",""))))))</f>
        <v>40%</v>
      </c>
      <c r="Z207" s="145" t="s">
        <v>18</v>
      </c>
      <c r="AA207" s="145" t="s">
        <v>21</v>
      </c>
      <c r="AB207" s="145" t="s">
        <v>112</v>
      </c>
      <c r="AC207" s="156">
        <f>IFERROR(IF(V207="Probabilidad",(N207-(+N207*Y207)),IF(V207="Impacto",N207,"")),"")</f>
        <v>0.36</v>
      </c>
      <c r="AD207" s="157" t="str">
        <f>IFERROR(IF(AC207="","",IF(AC207&lt;=0.2,"Muy Baja",IF(AC207&lt;=0.4,"Baja",IF(AC207&lt;=0.6,"Media",IF(AC207&lt;=0.8,"Alta","Muy Alta"))))),"")</f>
        <v>Baja</v>
      </c>
      <c r="AE207" s="158">
        <f>+AC207</f>
        <v>0.36</v>
      </c>
      <c r="AF207" s="157" t="str">
        <f>IFERROR(IF(AG207="","",IF(AG207&lt;=0.2,"Leve",IF(AG207&lt;=0.4,"Menor",IF(AG207&lt;=0.6,"Moderado",IF(AG207&lt;=0.8,"Mayor","Catastrófico"))))),"")</f>
        <v>Mayor</v>
      </c>
      <c r="AG207" s="158">
        <f>IFERROR(IF(V207="Impacto",(R207-(+R207*Y207)),IF(V207="Probabilidad",R207,"")),"")</f>
        <v>0.8</v>
      </c>
      <c r="AH207" s="159" t="str">
        <f>IFERROR(IF(OR(AND(AD207="Muy Baja",AF207="Leve"),AND(AD207="Muy Baja",AF207="Menor"),AND(AD207="Baja",AF207="Leve")),"Bajo",IF(OR(AND(AD207="Muy baja",AF207="Moderado"),AND(AD207="Baja",AF207="Menor"),AND(AD207="Baja",AF207="Moderado"),AND(AD207="Media",AF207="Leve"),AND(AD207="Media",AF207="Menor"),AND(AD207="Media",AF207="Moderado"),AND(AD207="Alta",AF207="Leve"),AND(AD207="Alta",AF207="Menor")),"Moderado",IF(OR(AND(AD207="Muy Baja",AF207="Mayor"),AND(AD207="Baja",AF207="Mayor"),AND(AD207="Media",AF207="Mayor"),AND(AD207="Alta",AF207="Moderado"),AND(AD207="Alta",AF207="Mayor"),AND(AD207="Muy Alta",AF207="Leve"),AND(AD207="Muy Alta",AF207="Menor"),AND(AD207="Muy Alta",AF207="Moderado"),AND(AD207="Muy Alta",AF207="Mayor")),"Alto",IF(OR(AND(AD207="Muy Baja",AF207="Catastrófico"),AND(AD207="Baja",AF207="Catastrófico"),AND(AD207="Media",AF207="Catastrófico"),AND(AD207="Alta",AF207="Catastrófico"),AND(AD207="Muy Alta",AF207="Catastrófico")),"Extremo","")))),"")</f>
        <v>Alto</v>
      </c>
      <c r="AI207" s="151" t="s">
        <v>117</v>
      </c>
      <c r="AJ207" s="180" t="s">
        <v>681</v>
      </c>
      <c r="AK207" s="185" t="s">
        <v>207</v>
      </c>
      <c r="AL207" s="187">
        <v>45293</v>
      </c>
      <c r="AM207" s="195">
        <v>45657</v>
      </c>
      <c r="AN207" s="183" t="s">
        <v>284</v>
      </c>
      <c r="AO207" s="192" t="s">
        <v>269</v>
      </c>
      <c r="AP207" s="181" t="s">
        <v>682</v>
      </c>
      <c r="AQ207" s="10"/>
      <c r="AR207" s="10"/>
      <c r="AS207" s="10"/>
      <c r="AT207" s="10"/>
      <c r="AU207" s="10"/>
      <c r="AV207" s="10"/>
      <c r="AW207" s="10"/>
      <c r="AX207" s="10"/>
      <c r="AY207" s="10"/>
      <c r="AZ207" s="10"/>
      <c r="BA207" s="10"/>
      <c r="BB207" s="10"/>
      <c r="BC207" s="10"/>
      <c r="BD207" s="10"/>
      <c r="BE207" s="10"/>
      <c r="BF207" s="10"/>
      <c r="BG207" s="10"/>
      <c r="BH207" s="10"/>
      <c r="BI207" s="10"/>
      <c r="BJ207" s="10"/>
      <c r="BK207" s="10"/>
      <c r="BL207" s="10"/>
      <c r="BM207" s="10"/>
      <c r="BN207" s="10"/>
      <c r="BO207" s="10"/>
      <c r="BP207" s="10"/>
      <c r="BQ207" s="10"/>
      <c r="BR207" s="10"/>
      <c r="BS207" s="10"/>
      <c r="BT207" s="10"/>
      <c r="BU207" s="10"/>
    </row>
    <row r="208" spans="1:73" ht="96.75" customHeight="1" x14ac:dyDescent="0.2">
      <c r="A208" s="214"/>
      <c r="B208" s="241"/>
      <c r="C208" s="241"/>
      <c r="D208" s="183"/>
      <c r="E208" s="181"/>
      <c r="F208" s="181"/>
      <c r="G208" s="181"/>
      <c r="H208" s="197"/>
      <c r="I208" s="242"/>
      <c r="J208" s="217"/>
      <c r="K208" s="183"/>
      <c r="L208" s="185"/>
      <c r="M208" s="205"/>
      <c r="N208" s="206"/>
      <c r="O208" s="203"/>
      <c r="P208" s="239">
        <f>IF(NOT(ISERROR(MATCH(O208,_xlfn.ANCHORARRAY(#REF!),0))),#REF!&amp;"Por favor no seleccionar los criterios de impacto",O208)</f>
        <v>0</v>
      </c>
      <c r="Q208" s="205"/>
      <c r="R208" s="206"/>
      <c r="S208" s="207"/>
      <c r="T208" s="152">
        <v>2</v>
      </c>
      <c r="U208" s="166" t="s">
        <v>667</v>
      </c>
      <c r="V208" s="153" t="str">
        <f>IF(OR(W208="Preventivo",W208="Detectivo"),"Probabilidad",IF(W208="Correctivo","Impacto",""))</f>
        <v>Probabilidad</v>
      </c>
      <c r="W208" s="154" t="s">
        <v>13</v>
      </c>
      <c r="X208" s="154" t="s">
        <v>8</v>
      </c>
      <c r="Y208" s="155" t="str">
        <f t="shared" ref="Y208:Y212" si="393">IF(AND(W208="Preventivo",X208="Automático"),"50%",IF(AND(W208="Preventivo",X208="Manual"),"40%",IF(AND(W208="Detectivo",X208="Automático"),"40%",IF(AND(W208="Detectivo",X208="Manual"),"30%",IF(AND(W208="Correctivo",X208="Automático"),"35%",IF(AND(W208="Correctivo",X208="Manual"),"25%",""))))))</f>
        <v>40%</v>
      </c>
      <c r="Z208" s="154" t="s">
        <v>18</v>
      </c>
      <c r="AA208" s="154" t="s">
        <v>21</v>
      </c>
      <c r="AB208" s="154" t="s">
        <v>112</v>
      </c>
      <c r="AC208" s="156">
        <f>IFERROR(IF(AND(V207="Probabilidad",V208="Probabilidad"),(AE207-(+AE207*Y208)),IF(V208="Probabilidad",(N207-(+N207*Y208)),IF(V208="Impacto",AE207,""))),"")</f>
        <v>0.216</v>
      </c>
      <c r="AD208" s="157" t="str">
        <f t="shared" ref="AD208:AD212" si="394">IFERROR(IF(AC208="","",IF(AC208&lt;=0.2,"Muy Baja",IF(AC208&lt;=0.4,"Baja",IF(AC208&lt;=0.6,"Media",IF(AC208&lt;=0.8,"Alta","Muy Alta"))))),"")</f>
        <v>Baja</v>
      </c>
      <c r="AE208" s="158">
        <f t="shared" ref="AE208:AE212" si="395">+AC208</f>
        <v>0.216</v>
      </c>
      <c r="AF208" s="157" t="str">
        <f t="shared" ref="AF208:AF212" si="396">IFERROR(IF(AG208="","",IF(AG208&lt;=0.2,"Leve",IF(AG208&lt;=0.4,"Menor",IF(AG208&lt;=0.6,"Moderado",IF(AG208&lt;=0.8,"Mayor","Catastrófico"))))),"")</f>
        <v>Mayor</v>
      </c>
      <c r="AG208" s="158">
        <f>IFERROR(IF(AND(V207="Impacto",V208="Impacto"),(AG207-(+AG207*Y208)),IF(V208="Impacto",(R207-(+R207*Y208)),IF(V208="Probabilidad",AG207,""))),"")</f>
        <v>0.8</v>
      </c>
      <c r="AH208" s="159" t="str">
        <f t="shared" ref="AH208:AH209" si="397">IFERROR(IF(OR(AND(AD208="Muy Baja",AF208="Leve"),AND(AD208="Muy Baja",AF208="Menor"),AND(AD208="Baja",AF208="Leve")),"Bajo",IF(OR(AND(AD208="Muy baja",AF208="Moderado"),AND(AD208="Baja",AF208="Menor"),AND(AD208="Baja",AF208="Moderado"),AND(AD208="Media",AF208="Leve"),AND(AD208="Media",AF208="Menor"),AND(AD208="Media",AF208="Moderado"),AND(AD208="Alta",AF208="Leve"),AND(AD208="Alta",AF208="Menor")),"Moderado",IF(OR(AND(AD208="Muy Baja",AF208="Mayor"),AND(AD208="Baja",AF208="Mayor"),AND(AD208="Media",AF208="Mayor"),AND(AD208="Alta",AF208="Moderado"),AND(AD208="Alta",AF208="Mayor"),AND(AD208="Muy Alta",AF208="Leve"),AND(AD208="Muy Alta",AF208="Menor"),AND(AD208="Muy Alta",AF208="Moderado"),AND(AD208="Muy Alta",AF208="Mayor")),"Alto",IF(OR(AND(AD208="Muy Baja",AF208="Catastrófico"),AND(AD208="Baja",AF208="Catastrófico"),AND(AD208="Media",AF208="Catastrófico"),AND(AD208="Alta",AF208="Catastrófico"),AND(AD208="Muy Alta",AF208="Catastrófico")),"Extremo","")))),"")</f>
        <v>Alto</v>
      </c>
      <c r="AI208" s="161" t="s">
        <v>117</v>
      </c>
      <c r="AJ208" s="181"/>
      <c r="AK208" s="185"/>
      <c r="AL208" s="187"/>
      <c r="AM208" s="195"/>
      <c r="AN208" s="183"/>
      <c r="AO208" s="192"/>
      <c r="AP208" s="181"/>
    </row>
    <row r="209" spans="1:73" ht="82.5" customHeight="1" x14ac:dyDescent="0.2">
      <c r="A209" s="214"/>
      <c r="B209" s="241"/>
      <c r="C209" s="241"/>
      <c r="D209" s="183"/>
      <c r="E209" s="181"/>
      <c r="F209" s="181"/>
      <c r="G209" s="181"/>
      <c r="H209" s="197"/>
      <c r="I209" s="242"/>
      <c r="J209" s="217"/>
      <c r="K209" s="183"/>
      <c r="L209" s="185"/>
      <c r="M209" s="205"/>
      <c r="N209" s="206"/>
      <c r="O209" s="203"/>
      <c r="P209" s="239">
        <f>IF(NOT(ISERROR(MATCH(O209,_xlfn.ANCHORARRAY(#REF!),0))),#REF!&amp;"Por favor no seleccionar los criterios de impacto",O209)</f>
        <v>0</v>
      </c>
      <c r="Q209" s="205"/>
      <c r="R209" s="206"/>
      <c r="S209" s="207"/>
      <c r="T209" s="152">
        <v>3</v>
      </c>
      <c r="U209" s="166" t="s">
        <v>668</v>
      </c>
      <c r="V209" s="153" t="str">
        <f>IF(OR(W209="Preventivo",W209="Detectivo"),"Probabilidad",IF(W209="Correctivo","Impacto",""))</f>
        <v>Probabilidad</v>
      </c>
      <c r="W209" s="154" t="s">
        <v>14</v>
      </c>
      <c r="X209" s="154" t="s">
        <v>8</v>
      </c>
      <c r="Y209" s="155" t="str">
        <f t="shared" si="393"/>
        <v>30%</v>
      </c>
      <c r="Z209" s="154" t="s">
        <v>18</v>
      </c>
      <c r="AA209" s="154" t="s">
        <v>21</v>
      </c>
      <c r="AB209" s="154" t="s">
        <v>112</v>
      </c>
      <c r="AC209" s="156">
        <f>IFERROR(IF(AND(V208="Probabilidad",V209="Probabilidad"),(AE208-(+AE208*Y209)),IF(AND(V208="Impacto",V209="Probabilidad"),(AE207-(+AE207*Y209)),IF(V209="Impacto",AE208,""))),"")</f>
        <v>0.1512</v>
      </c>
      <c r="AD209" s="157" t="str">
        <f t="shared" si="394"/>
        <v>Muy Baja</v>
      </c>
      <c r="AE209" s="158">
        <f t="shared" si="395"/>
        <v>0.1512</v>
      </c>
      <c r="AF209" s="157" t="str">
        <f t="shared" si="396"/>
        <v>Mayor</v>
      </c>
      <c r="AG209" s="158">
        <f>IFERROR(IF(AND(V208="Impacto",V209="Impacto"),(AG208-(+AG208*Y209)),IF(AND(V208="Probabilidad",V209="Impacto"),(AG207-(+AG207*Y209)),IF(V209="Probabilidad",AG208,""))),"")</f>
        <v>0.8</v>
      </c>
      <c r="AH209" s="159" t="str">
        <f t="shared" si="397"/>
        <v>Alto</v>
      </c>
      <c r="AI209" s="161" t="s">
        <v>118</v>
      </c>
      <c r="AJ209" s="181"/>
      <c r="AK209" s="185"/>
      <c r="AL209" s="187"/>
      <c r="AM209" s="195"/>
      <c r="AN209" s="183"/>
      <c r="AO209" s="192"/>
      <c r="AP209" s="181"/>
    </row>
    <row r="210" spans="1:73" ht="15" customHeight="1" x14ac:dyDescent="0.2">
      <c r="A210" s="214"/>
      <c r="B210" s="241"/>
      <c r="C210" s="241"/>
      <c r="D210" s="183"/>
      <c r="E210" s="181"/>
      <c r="F210" s="181"/>
      <c r="G210" s="181"/>
      <c r="H210" s="197"/>
      <c r="I210" s="242"/>
      <c r="J210" s="217"/>
      <c r="K210" s="183"/>
      <c r="L210" s="185"/>
      <c r="M210" s="205"/>
      <c r="N210" s="206"/>
      <c r="O210" s="203"/>
      <c r="P210" s="239">
        <f>IF(NOT(ISERROR(MATCH(O210,_xlfn.ANCHORARRAY(#REF!),0))),#REF!&amp;"Por favor no seleccionar los criterios de impacto",O210)</f>
        <v>0</v>
      </c>
      <c r="Q210" s="205"/>
      <c r="R210" s="206"/>
      <c r="S210" s="207"/>
      <c r="T210" s="152">
        <v>4</v>
      </c>
      <c r="U210" s="160"/>
      <c r="V210" s="153" t="str">
        <f t="shared" ref="V210:V212" si="398">IF(OR(W210="Preventivo",W210="Detectivo"),"Probabilidad",IF(W210="Correctivo","Impacto",""))</f>
        <v/>
      </c>
      <c r="W210" s="154"/>
      <c r="X210" s="154"/>
      <c r="Y210" s="155" t="str">
        <f t="shared" si="393"/>
        <v/>
      </c>
      <c r="Z210" s="154"/>
      <c r="AA210" s="154"/>
      <c r="AB210" s="154"/>
      <c r="AC210" s="156" t="str">
        <f t="shared" ref="AC210:AC212" si="399">IFERROR(IF(AND(V209="Probabilidad",V210="Probabilidad"),(AE209-(+AE209*Y210)),IF(AND(V209="Impacto",V210="Probabilidad"),(AE208-(+AE208*Y210)),IF(V210="Impacto",AE209,""))),"")</f>
        <v/>
      </c>
      <c r="AD210" s="157" t="str">
        <f t="shared" si="394"/>
        <v/>
      </c>
      <c r="AE210" s="158" t="str">
        <f t="shared" si="395"/>
        <v/>
      </c>
      <c r="AF210" s="157" t="str">
        <f t="shared" si="396"/>
        <v/>
      </c>
      <c r="AG210" s="158" t="str">
        <f t="shared" ref="AG210:AG212" si="400">IFERROR(IF(AND(V209="Impacto",V210="Impacto"),(AG209-(+AG209*Y210)),IF(AND(V209="Probabilidad",V210="Impacto"),(AG208-(+AG208*Y210)),IF(V210="Probabilidad",AG209,""))),"")</f>
        <v/>
      </c>
      <c r="AH210" s="159" t="str">
        <f>IFERROR(IF(OR(AND(AD210="Muy Baja",AF210="Leve"),AND(AD210="Muy Baja",AF210="Menor"),AND(AD210="Baja",AF210="Leve")),"Bajo",IF(OR(AND(AD210="Muy baja",AF210="Moderado"),AND(AD210="Baja",AF210="Menor"),AND(AD210="Baja",AF210="Moderado"),AND(AD210="Media",AF210="Leve"),AND(AD210="Media",AF210="Menor"),AND(AD210="Media",AF210="Moderado"),AND(AD210="Alta",AF210="Leve"),AND(AD210="Alta",AF210="Menor")),"Moderado",IF(OR(AND(AD210="Muy Baja",AF210="Mayor"),AND(AD210="Baja",AF210="Mayor"),AND(AD210="Media",AF210="Mayor"),AND(AD210="Alta",AF210="Moderado"),AND(AD210="Alta",AF210="Mayor"),AND(AD210="Muy Alta",AF210="Leve"),AND(AD210="Muy Alta",AF210="Menor"),AND(AD210="Muy Alta",AF210="Moderado"),AND(AD210="Muy Alta",AF210="Mayor")),"Alto",IF(OR(AND(AD210="Muy Baja",AF210="Catastrófico"),AND(AD210="Baja",AF210="Catastrófico"),AND(AD210="Media",AF210="Catastrófico"),AND(AD210="Alta",AF210="Catastrófico"),AND(AD210="Muy Alta",AF210="Catastrófico")),"Extremo","")))),"")</f>
        <v/>
      </c>
      <c r="AI210" s="161"/>
      <c r="AJ210" s="181"/>
      <c r="AK210" s="185"/>
      <c r="AL210" s="187"/>
      <c r="AM210" s="195"/>
      <c r="AN210" s="183"/>
      <c r="AO210" s="192"/>
      <c r="AP210" s="181"/>
    </row>
    <row r="211" spans="1:73" ht="15" customHeight="1" x14ac:dyDescent="0.2">
      <c r="A211" s="214"/>
      <c r="B211" s="241"/>
      <c r="C211" s="241"/>
      <c r="D211" s="183"/>
      <c r="E211" s="181"/>
      <c r="F211" s="181"/>
      <c r="G211" s="181"/>
      <c r="H211" s="197"/>
      <c r="I211" s="242"/>
      <c r="J211" s="217"/>
      <c r="K211" s="183"/>
      <c r="L211" s="185"/>
      <c r="M211" s="205"/>
      <c r="N211" s="206"/>
      <c r="O211" s="203"/>
      <c r="P211" s="239">
        <f>IF(NOT(ISERROR(MATCH(O211,_xlfn.ANCHORARRAY(#REF!),0))),N214&amp;"Por favor no seleccionar los criterios de impacto",O211)</f>
        <v>0</v>
      </c>
      <c r="Q211" s="205"/>
      <c r="R211" s="206"/>
      <c r="S211" s="207"/>
      <c r="T211" s="152">
        <v>5</v>
      </c>
      <c r="U211" s="160"/>
      <c r="V211" s="153" t="str">
        <f t="shared" si="398"/>
        <v/>
      </c>
      <c r="W211" s="154"/>
      <c r="X211" s="154"/>
      <c r="Y211" s="155" t="str">
        <f t="shared" si="393"/>
        <v/>
      </c>
      <c r="Z211" s="154"/>
      <c r="AA211" s="154"/>
      <c r="AB211" s="154"/>
      <c r="AC211" s="156" t="str">
        <f t="shared" si="399"/>
        <v/>
      </c>
      <c r="AD211" s="157" t="str">
        <f t="shared" si="394"/>
        <v/>
      </c>
      <c r="AE211" s="158" t="str">
        <f t="shared" si="395"/>
        <v/>
      </c>
      <c r="AF211" s="157" t="str">
        <f t="shared" si="396"/>
        <v/>
      </c>
      <c r="AG211" s="158" t="str">
        <f t="shared" si="400"/>
        <v/>
      </c>
      <c r="AH211" s="159" t="str">
        <f t="shared" ref="AH211:AH212" si="401">IFERROR(IF(OR(AND(AD211="Muy Baja",AF211="Leve"),AND(AD211="Muy Baja",AF211="Menor"),AND(AD211="Baja",AF211="Leve")),"Bajo",IF(OR(AND(AD211="Muy baja",AF211="Moderado"),AND(AD211="Baja",AF211="Menor"),AND(AD211="Baja",AF211="Moderado"),AND(AD211="Media",AF211="Leve"),AND(AD211="Media",AF211="Menor"),AND(AD211="Media",AF211="Moderado"),AND(AD211="Alta",AF211="Leve"),AND(AD211="Alta",AF211="Menor")),"Moderado",IF(OR(AND(AD211="Muy Baja",AF211="Mayor"),AND(AD211="Baja",AF211="Mayor"),AND(AD211="Media",AF211="Mayor"),AND(AD211="Alta",AF211="Moderado"),AND(AD211="Alta",AF211="Mayor"),AND(AD211="Muy Alta",AF211="Leve"),AND(AD211="Muy Alta",AF211="Menor"),AND(AD211="Muy Alta",AF211="Moderado"),AND(AD211="Muy Alta",AF211="Mayor")),"Alto",IF(OR(AND(AD211="Muy Baja",AF211="Catastrófico"),AND(AD211="Baja",AF211="Catastrófico"),AND(AD211="Media",AF211="Catastrófico"),AND(AD211="Alta",AF211="Catastrófico"),AND(AD211="Muy Alta",AF211="Catastrófico")),"Extremo","")))),"")</f>
        <v/>
      </c>
      <c r="AI211" s="161"/>
      <c r="AJ211" s="181"/>
      <c r="AK211" s="185"/>
      <c r="AL211" s="187"/>
      <c r="AM211" s="195"/>
      <c r="AN211" s="183"/>
      <c r="AO211" s="192"/>
      <c r="AP211" s="181"/>
    </row>
    <row r="212" spans="1:73" ht="15" customHeight="1" x14ac:dyDescent="0.2">
      <c r="A212" s="214"/>
      <c r="B212" s="241"/>
      <c r="C212" s="241"/>
      <c r="D212" s="183"/>
      <c r="E212" s="181"/>
      <c r="F212" s="181"/>
      <c r="G212" s="181"/>
      <c r="H212" s="197"/>
      <c r="I212" s="242"/>
      <c r="J212" s="217"/>
      <c r="K212" s="183"/>
      <c r="L212" s="185"/>
      <c r="M212" s="205"/>
      <c r="N212" s="206"/>
      <c r="O212" s="203"/>
      <c r="P212" s="239">
        <f>IF(NOT(ISERROR(MATCH(O212,_xlfn.ANCHORARRAY(#REF!),0))),N215&amp;"Por favor no seleccionar los criterios de impacto",O212)</f>
        <v>0</v>
      </c>
      <c r="Q212" s="205"/>
      <c r="R212" s="206"/>
      <c r="S212" s="207"/>
      <c r="T212" s="152">
        <v>6</v>
      </c>
      <c r="U212" s="160"/>
      <c r="V212" s="153" t="str">
        <f t="shared" si="398"/>
        <v/>
      </c>
      <c r="W212" s="154"/>
      <c r="X212" s="154"/>
      <c r="Y212" s="155" t="str">
        <f t="shared" si="393"/>
        <v/>
      </c>
      <c r="Z212" s="154"/>
      <c r="AA212" s="154"/>
      <c r="AB212" s="154"/>
      <c r="AC212" s="156" t="str">
        <f t="shared" si="399"/>
        <v/>
      </c>
      <c r="AD212" s="157" t="str">
        <f t="shared" si="394"/>
        <v/>
      </c>
      <c r="AE212" s="158" t="str">
        <f t="shared" si="395"/>
        <v/>
      </c>
      <c r="AF212" s="157" t="str">
        <f t="shared" si="396"/>
        <v/>
      </c>
      <c r="AG212" s="158" t="str">
        <f t="shared" si="400"/>
        <v/>
      </c>
      <c r="AH212" s="159" t="str">
        <f t="shared" si="401"/>
        <v/>
      </c>
      <c r="AI212" s="161"/>
      <c r="AJ212" s="181"/>
      <c r="AK212" s="185"/>
      <c r="AL212" s="187"/>
      <c r="AM212" s="195"/>
      <c r="AN212" s="183"/>
      <c r="AO212" s="192"/>
      <c r="AP212" s="181"/>
    </row>
    <row r="213" spans="1:73" ht="73.5" customHeight="1" x14ac:dyDescent="0.2">
      <c r="A213" s="214">
        <v>37</v>
      </c>
      <c r="B213" s="241" t="s">
        <v>247</v>
      </c>
      <c r="C213" s="241" t="s">
        <v>635</v>
      </c>
      <c r="D213" s="183" t="s">
        <v>266</v>
      </c>
      <c r="E213" s="181" t="s">
        <v>641</v>
      </c>
      <c r="F213" s="181" t="s">
        <v>642</v>
      </c>
      <c r="G213" s="181" t="s">
        <v>643</v>
      </c>
      <c r="H213" s="197" t="s">
        <v>644</v>
      </c>
      <c r="I213" s="242" t="s">
        <v>645</v>
      </c>
      <c r="J213" s="217" t="s">
        <v>237</v>
      </c>
      <c r="K213" s="183" t="s">
        <v>242</v>
      </c>
      <c r="L213" s="185">
        <v>1000</v>
      </c>
      <c r="M213" s="205" t="str">
        <f t="shared" ref="M213" si="402">IF(L213&lt;=0,"",IF(L213&lt;=2,"Muy Baja",IF(L213&lt;=24,"Baja",IF(L213&lt;=500,"Media",IF(L213&lt;=5000,"Alta","Muy Alta")))))</f>
        <v>Alta</v>
      </c>
      <c r="N213" s="206">
        <f t="shared" ref="N213" si="403">IF(M213="","",IF(M213="Muy Baja",0.2,IF(M213="Baja",0.4,IF(M213="Media",0.6,IF(M213="Alta",0.8,IF(M213="Muy Alta",1,))))))</f>
        <v>0.8</v>
      </c>
      <c r="O213" s="203" t="s">
        <v>131</v>
      </c>
      <c r="P213" s="239" t="str">
        <f>IF(NOT(ISERROR(MATCH(O213,'Tabla Impacto'!$B$221:$B$223,0))),'Tabla Impacto'!$F$223&amp;"Por favor no seleccionar los criterios de impacto(Afectación Económica o presupuestal y Pérdida Reputacional)",O213)</f>
        <v xml:space="preserve">     Mayor a 500 SMLMV </v>
      </c>
      <c r="Q213" s="205" t="str">
        <f>IF(OR(P213='Tabla Impacto'!$C$11,P213='Tabla Impacto'!$D$11),"Leve",IF(OR(P213='Tabla Impacto'!$C$12,P213='Tabla Impacto'!$D$12),"Menor",IF(OR(P213='Tabla Impacto'!$C$13,P213='Tabla Impacto'!$D$13),"Moderado",IF(OR(P213='Tabla Impacto'!$C$14,P213='Tabla Impacto'!$D$14),"Mayor",IF(OR(P213='Tabla Impacto'!$C$15,P213='Tabla Impacto'!$D$15),"Catastrófico","")))))</f>
        <v>Catastrófico</v>
      </c>
      <c r="R213" s="206">
        <f t="shared" ref="R213" si="404">IF(Q213="","",IF(Q213="Leve",0.2,IF(Q213="Menor",0.4,IF(Q213="Moderado",0.6,IF(Q213="Mayor",0.8,IF(Q213="Catastrófico",1,))))))</f>
        <v>1</v>
      </c>
      <c r="S213" s="207" t="str">
        <f t="shared" ref="S213" si="405">IF(OR(AND(M213="Muy Baja",Q213="Leve"),AND(M213="Muy Baja",Q213="Menor"),AND(M213="Baja",Q213="Leve")),"Bajo",IF(OR(AND(M213="Muy baja",Q213="Moderado"),AND(M213="Baja",Q213="Menor"),AND(M213="Baja",Q213="Moderado"),AND(M213="Media",Q213="Leve"),AND(M213="Media",Q213="Menor"),AND(M213="Media",Q213="Moderado"),AND(M213="Alta",Q213="Leve"),AND(M213="Alta",Q213="Menor")),"Moderado",IF(OR(AND(M213="Muy Baja",Q213="Mayor"),AND(M213="Baja",Q213="Mayor"),AND(M213="Media",Q213="Mayor"),AND(M213="Alta",Q213="Moderado"),AND(M213="Alta",Q213="Mayor"),AND(M213="Muy Alta",Q213="Leve"),AND(M213="Muy Alta",Q213="Menor"),AND(M213="Muy Alta",Q213="Moderado"),AND(M213="Muy Alta",Q213="Mayor")),"Alto",IF(OR(AND(M213="Muy Baja",Q213="Catastrófico"),AND(M213="Baja",Q213="Catastrófico"),AND(M213="Media",Q213="Catastrófico"),AND(M213="Alta",Q213="Catastrófico"),AND(M213="Muy Alta",Q213="Catastrófico")),"Extremo",""))))</f>
        <v>Extremo</v>
      </c>
      <c r="T213" s="152">
        <v>1</v>
      </c>
      <c r="U213" s="166" t="s">
        <v>669</v>
      </c>
      <c r="V213" s="153" t="str">
        <f>IF(OR(W213="Preventivo",W213="Detectivo"),"Probabilidad",IF(W213="Correctivo","Impacto",""))</f>
        <v>Probabilidad</v>
      </c>
      <c r="W213" s="154" t="s">
        <v>13</v>
      </c>
      <c r="X213" s="154" t="s">
        <v>8</v>
      </c>
      <c r="Y213" s="155" t="str">
        <f>IF(AND(W213="Preventivo",X213="Automático"),"50%",IF(AND(W213="Preventivo",X213="Manual"),"40%",IF(AND(W213="Detectivo",X213="Automático"),"40%",IF(AND(W213="Detectivo",X213="Manual"),"30%",IF(AND(W213="Correctivo",X213="Automático"),"35%",IF(AND(W213="Correctivo",X213="Manual"),"25%",""))))))</f>
        <v>40%</v>
      </c>
      <c r="Z213" s="154" t="s">
        <v>18</v>
      </c>
      <c r="AA213" s="154" t="s">
        <v>21</v>
      </c>
      <c r="AB213" s="154" t="s">
        <v>112</v>
      </c>
      <c r="AC213" s="156">
        <f>IFERROR(IF(V213="Probabilidad",(N213-(+N213*Y213)),IF(V213="Impacto",N213,"")),"")</f>
        <v>0.48</v>
      </c>
      <c r="AD213" s="157" t="str">
        <f>IFERROR(IF(AC213="","",IF(AC213&lt;=0.2,"Muy Baja",IF(AC213&lt;=0.4,"Baja",IF(AC213&lt;=0.6,"Media",IF(AC213&lt;=0.8,"Alta","Muy Alta"))))),"")</f>
        <v>Media</v>
      </c>
      <c r="AE213" s="158">
        <f>+AC213</f>
        <v>0.48</v>
      </c>
      <c r="AF213" s="157" t="str">
        <f>IFERROR(IF(AG213="","",IF(AG213&lt;=0.2,"Leve",IF(AG213&lt;=0.4,"Menor",IF(AG213&lt;=0.6,"Moderado",IF(AG213&lt;=0.8,"Mayor","Catastrófico"))))),"")</f>
        <v>Catastrófico</v>
      </c>
      <c r="AG213" s="158">
        <f>IFERROR(IF(V213="Impacto",(R213-(+R213*Y213)),IF(V213="Probabilidad",R213,"")),"")</f>
        <v>1</v>
      </c>
      <c r="AH213" s="159" t="str">
        <f>IFERROR(IF(OR(AND(AD213="Muy Baja",AF213="Leve"),AND(AD213="Muy Baja",AF213="Menor"),AND(AD213="Baja",AF213="Leve")),"Bajo",IF(OR(AND(AD213="Muy baja",AF213="Moderado"),AND(AD213="Baja",AF213="Menor"),AND(AD213="Baja",AF213="Moderado"),AND(AD213="Media",AF213="Leve"),AND(AD213="Media",AF213="Menor"),AND(AD213="Media",AF213="Moderado"),AND(AD213="Alta",AF213="Leve"),AND(AD213="Alta",AF213="Menor")),"Moderado",IF(OR(AND(AD213="Muy Baja",AF213="Mayor"),AND(AD213="Baja",AF213="Mayor"),AND(AD213="Media",AF213="Mayor"),AND(AD213="Alta",AF213="Moderado"),AND(AD213="Alta",AF213="Mayor"),AND(AD213="Muy Alta",AF213="Leve"),AND(AD213="Muy Alta",AF213="Menor"),AND(AD213="Muy Alta",AF213="Moderado"),AND(AD213="Muy Alta",AF213="Mayor")),"Alto",IF(OR(AND(AD213="Muy Baja",AF213="Catastrófico"),AND(AD213="Baja",AF213="Catastrófico"),AND(AD213="Media",AF213="Catastrófico"),AND(AD213="Alta",AF213="Catastrófico"),AND(AD213="Muy Alta",AF213="Catastrófico")),"Extremo","")))),"")</f>
        <v>Extremo</v>
      </c>
      <c r="AI213" s="161" t="s">
        <v>117</v>
      </c>
      <c r="AJ213" s="181" t="s">
        <v>683</v>
      </c>
      <c r="AK213" s="185" t="s">
        <v>207</v>
      </c>
      <c r="AL213" s="187">
        <v>45293</v>
      </c>
      <c r="AM213" s="195">
        <v>45657</v>
      </c>
      <c r="AN213" s="183" t="s">
        <v>368</v>
      </c>
      <c r="AO213" s="192" t="s">
        <v>269</v>
      </c>
      <c r="AP213" s="181" t="s">
        <v>684</v>
      </c>
      <c r="AQ213" s="10"/>
      <c r="AR213" s="10"/>
      <c r="AS213" s="10"/>
      <c r="AT213" s="10"/>
      <c r="AU213" s="10"/>
      <c r="AV213" s="10"/>
      <c r="AW213" s="10"/>
      <c r="AX213" s="10"/>
      <c r="AY213" s="10"/>
      <c r="AZ213" s="10"/>
      <c r="BA213" s="10"/>
      <c r="BB213" s="10"/>
      <c r="BC213" s="10"/>
      <c r="BD213" s="10"/>
      <c r="BE213" s="10"/>
      <c r="BF213" s="10"/>
      <c r="BG213" s="10"/>
      <c r="BH213" s="10"/>
      <c r="BI213" s="10"/>
      <c r="BJ213" s="10"/>
      <c r="BK213" s="10"/>
      <c r="BL213" s="10"/>
      <c r="BM213" s="10"/>
      <c r="BN213" s="10"/>
      <c r="BO213" s="10"/>
      <c r="BP213" s="10"/>
      <c r="BQ213" s="10"/>
      <c r="BR213" s="10"/>
      <c r="BS213" s="10"/>
      <c r="BT213" s="10"/>
      <c r="BU213" s="10"/>
    </row>
    <row r="214" spans="1:73" ht="96.75" customHeight="1" x14ac:dyDescent="0.2">
      <c r="A214" s="214"/>
      <c r="B214" s="241"/>
      <c r="C214" s="241"/>
      <c r="D214" s="183"/>
      <c r="E214" s="181"/>
      <c r="F214" s="181"/>
      <c r="G214" s="181"/>
      <c r="H214" s="197"/>
      <c r="I214" s="242"/>
      <c r="J214" s="217"/>
      <c r="K214" s="183"/>
      <c r="L214" s="185"/>
      <c r="M214" s="205"/>
      <c r="N214" s="206"/>
      <c r="O214" s="203"/>
      <c r="P214" s="239">
        <f>IF(NOT(ISERROR(MATCH(O214,_xlfn.ANCHORARRAY(#REF!),0))),#REF!&amp;"Por favor no seleccionar los criterios de impacto",O214)</f>
        <v>0</v>
      </c>
      <c r="Q214" s="205"/>
      <c r="R214" s="206"/>
      <c r="S214" s="207"/>
      <c r="T214" s="152">
        <v>2</v>
      </c>
      <c r="U214" s="166" t="s">
        <v>670</v>
      </c>
      <c r="V214" s="153" t="str">
        <f>IF(OR(W214="Preventivo",W214="Detectivo"),"Probabilidad",IF(W214="Correctivo","Impacto",""))</f>
        <v>Probabilidad</v>
      </c>
      <c r="W214" s="154" t="s">
        <v>13</v>
      </c>
      <c r="X214" s="154" t="s">
        <v>8</v>
      </c>
      <c r="Y214" s="155" t="str">
        <f t="shared" ref="Y214:Y218" si="406">IF(AND(W214="Preventivo",X214="Automático"),"50%",IF(AND(W214="Preventivo",X214="Manual"),"40%",IF(AND(W214="Detectivo",X214="Automático"),"40%",IF(AND(W214="Detectivo",X214="Manual"),"30%",IF(AND(W214="Correctivo",X214="Automático"),"35%",IF(AND(W214="Correctivo",X214="Manual"),"25%",""))))))</f>
        <v>40%</v>
      </c>
      <c r="Z214" s="154" t="s">
        <v>18</v>
      </c>
      <c r="AA214" s="154" t="s">
        <v>21</v>
      </c>
      <c r="AB214" s="154" t="s">
        <v>112</v>
      </c>
      <c r="AC214" s="156">
        <f>IFERROR(IF(AND(V213="Probabilidad",V214="Probabilidad"),(AE213-(+AE213*Y214)),IF(V214="Probabilidad",(N213-(+N213*Y214)),IF(V214="Impacto",AE213,""))),"")</f>
        <v>0.28799999999999998</v>
      </c>
      <c r="AD214" s="157" t="str">
        <f t="shared" ref="AD214:AD218" si="407">IFERROR(IF(AC214="","",IF(AC214&lt;=0.2,"Muy Baja",IF(AC214&lt;=0.4,"Baja",IF(AC214&lt;=0.6,"Media",IF(AC214&lt;=0.8,"Alta","Muy Alta"))))),"")</f>
        <v>Baja</v>
      </c>
      <c r="AE214" s="158">
        <f t="shared" ref="AE214:AE218" si="408">+AC214</f>
        <v>0.28799999999999998</v>
      </c>
      <c r="AF214" s="157" t="str">
        <f t="shared" ref="AF214:AF218" si="409">IFERROR(IF(AG214="","",IF(AG214&lt;=0.2,"Leve",IF(AG214&lt;=0.4,"Menor",IF(AG214&lt;=0.6,"Moderado",IF(AG214&lt;=0.8,"Mayor","Catastrófico"))))),"")</f>
        <v>Catastrófico</v>
      </c>
      <c r="AG214" s="158">
        <f>IFERROR(IF(AND(V213="Impacto",V214="Impacto"),(AG213-(+AG213*Y214)),IF(V214="Impacto",(R213-(+R213*Y214)),IF(V214="Probabilidad",AG213,""))),"")</f>
        <v>1</v>
      </c>
      <c r="AH214" s="159" t="str">
        <f t="shared" ref="AH214:AH215" si="410">IFERROR(IF(OR(AND(AD214="Muy Baja",AF214="Leve"),AND(AD214="Muy Baja",AF214="Menor"),AND(AD214="Baja",AF214="Leve")),"Bajo",IF(OR(AND(AD214="Muy baja",AF214="Moderado"),AND(AD214="Baja",AF214="Menor"),AND(AD214="Baja",AF214="Moderado"),AND(AD214="Media",AF214="Leve"),AND(AD214="Media",AF214="Menor"),AND(AD214="Media",AF214="Moderado"),AND(AD214="Alta",AF214="Leve"),AND(AD214="Alta",AF214="Menor")),"Moderado",IF(OR(AND(AD214="Muy Baja",AF214="Mayor"),AND(AD214="Baja",AF214="Mayor"),AND(AD214="Media",AF214="Mayor"),AND(AD214="Alta",AF214="Moderado"),AND(AD214="Alta",AF214="Mayor"),AND(AD214="Muy Alta",AF214="Leve"),AND(AD214="Muy Alta",AF214="Menor"),AND(AD214="Muy Alta",AF214="Moderado"),AND(AD214="Muy Alta",AF214="Mayor")),"Alto",IF(OR(AND(AD214="Muy Baja",AF214="Catastrófico"),AND(AD214="Baja",AF214="Catastrófico"),AND(AD214="Media",AF214="Catastrófico"),AND(AD214="Alta",AF214="Catastrófico"),AND(AD214="Muy Alta",AF214="Catastrófico")),"Extremo","")))),"")</f>
        <v>Extremo</v>
      </c>
      <c r="AI214" s="161" t="s">
        <v>117</v>
      </c>
      <c r="AJ214" s="181"/>
      <c r="AK214" s="185"/>
      <c r="AL214" s="187"/>
      <c r="AM214" s="195"/>
      <c r="AN214" s="183"/>
      <c r="AO214" s="192"/>
      <c r="AP214" s="181"/>
    </row>
    <row r="215" spans="1:73" ht="114" x14ac:dyDescent="0.2">
      <c r="A215" s="214"/>
      <c r="B215" s="241"/>
      <c r="C215" s="241"/>
      <c r="D215" s="183"/>
      <c r="E215" s="181"/>
      <c r="F215" s="181"/>
      <c r="G215" s="181"/>
      <c r="H215" s="197"/>
      <c r="I215" s="242"/>
      <c r="J215" s="217"/>
      <c r="K215" s="183"/>
      <c r="L215" s="185"/>
      <c r="M215" s="205"/>
      <c r="N215" s="206"/>
      <c r="O215" s="203"/>
      <c r="P215" s="239">
        <f>IF(NOT(ISERROR(MATCH(O215,_xlfn.ANCHORARRAY(#REF!),0))),#REF!&amp;"Por favor no seleccionar los criterios de impacto",O215)</f>
        <v>0</v>
      </c>
      <c r="Q215" s="205"/>
      <c r="R215" s="206"/>
      <c r="S215" s="207"/>
      <c r="T215" s="152">
        <v>3</v>
      </c>
      <c r="U215" s="166" t="s">
        <v>671</v>
      </c>
      <c r="V215" s="153" t="str">
        <f>IF(OR(W215="Preventivo",W215="Detectivo"),"Probabilidad",IF(W215="Correctivo","Impacto",""))</f>
        <v>Impacto</v>
      </c>
      <c r="W215" s="154" t="s">
        <v>15</v>
      </c>
      <c r="X215" s="154" t="s">
        <v>8</v>
      </c>
      <c r="Y215" s="155" t="str">
        <f t="shared" si="406"/>
        <v>25%</v>
      </c>
      <c r="Z215" s="154" t="s">
        <v>18</v>
      </c>
      <c r="AA215" s="154" t="s">
        <v>21</v>
      </c>
      <c r="AB215" s="154" t="s">
        <v>112</v>
      </c>
      <c r="AC215" s="156">
        <f>IFERROR(IF(AND(V214="Probabilidad",V215="Probabilidad"),(AE214-(+AE214*Y215)),IF(AND(V214="Impacto",V215="Probabilidad"),(AE213-(+AE213*Y215)),IF(V215="Impacto",AE214,""))),"")</f>
        <v>0.28799999999999998</v>
      </c>
      <c r="AD215" s="157" t="str">
        <f t="shared" si="407"/>
        <v>Baja</v>
      </c>
      <c r="AE215" s="158">
        <f t="shared" si="408"/>
        <v>0.28799999999999998</v>
      </c>
      <c r="AF215" s="157" t="str">
        <f t="shared" si="409"/>
        <v>Mayor</v>
      </c>
      <c r="AG215" s="158">
        <f>IFERROR(IF(AND(V214="Impacto",V215="Impacto"),(AG214-(+AG214*Y215)),IF(AND(V214="Probabilidad",V215="Impacto"),(AG213-(+AG213*Y215)),IF(V215="Probabilidad",AG214,""))),"")</f>
        <v>0.75</v>
      </c>
      <c r="AH215" s="159" t="str">
        <f t="shared" si="410"/>
        <v>Alto</v>
      </c>
      <c r="AI215" s="161" t="s">
        <v>117</v>
      </c>
      <c r="AJ215" s="181"/>
      <c r="AK215" s="185"/>
      <c r="AL215" s="187"/>
      <c r="AM215" s="195"/>
      <c r="AN215" s="183"/>
      <c r="AO215" s="192"/>
      <c r="AP215" s="181"/>
    </row>
    <row r="216" spans="1:73" ht="15" customHeight="1" x14ac:dyDescent="0.2">
      <c r="A216" s="214"/>
      <c r="B216" s="241"/>
      <c r="C216" s="241"/>
      <c r="D216" s="183"/>
      <c r="E216" s="181"/>
      <c r="F216" s="181"/>
      <c r="G216" s="181"/>
      <c r="H216" s="197"/>
      <c r="I216" s="242"/>
      <c r="J216" s="217"/>
      <c r="K216" s="183"/>
      <c r="L216" s="185"/>
      <c r="M216" s="205"/>
      <c r="N216" s="206"/>
      <c r="O216" s="203"/>
      <c r="P216" s="239">
        <f>IF(NOT(ISERROR(MATCH(O216,_xlfn.ANCHORARRAY(#REF!),0))),#REF!&amp;"Por favor no seleccionar los criterios de impacto",O216)</f>
        <v>0</v>
      </c>
      <c r="Q216" s="205"/>
      <c r="R216" s="206"/>
      <c r="S216" s="207"/>
      <c r="T216" s="152">
        <v>4</v>
      </c>
      <c r="U216" s="160"/>
      <c r="V216" s="153" t="str">
        <f t="shared" ref="V216:V218" si="411">IF(OR(W216="Preventivo",W216="Detectivo"),"Probabilidad",IF(W216="Correctivo","Impacto",""))</f>
        <v/>
      </c>
      <c r="W216" s="154"/>
      <c r="X216" s="154"/>
      <c r="Y216" s="155" t="str">
        <f t="shared" si="406"/>
        <v/>
      </c>
      <c r="Z216" s="154"/>
      <c r="AA216" s="154"/>
      <c r="AB216" s="154"/>
      <c r="AC216" s="156" t="str">
        <f t="shared" ref="AC216:AC218" si="412">IFERROR(IF(AND(V215="Probabilidad",V216="Probabilidad"),(AE215-(+AE215*Y216)),IF(AND(V215="Impacto",V216="Probabilidad"),(AE214-(+AE214*Y216)),IF(V216="Impacto",AE215,""))),"")</f>
        <v/>
      </c>
      <c r="AD216" s="157" t="str">
        <f t="shared" si="407"/>
        <v/>
      </c>
      <c r="AE216" s="158" t="str">
        <f t="shared" si="408"/>
        <v/>
      </c>
      <c r="AF216" s="157" t="str">
        <f t="shared" si="409"/>
        <v/>
      </c>
      <c r="AG216" s="158" t="str">
        <f t="shared" ref="AG216:AG218" si="413">IFERROR(IF(AND(V215="Impacto",V216="Impacto"),(AG215-(+AG215*Y216)),IF(AND(V215="Probabilidad",V216="Impacto"),(AG214-(+AG214*Y216)),IF(V216="Probabilidad",AG215,""))),"")</f>
        <v/>
      </c>
      <c r="AH216" s="159" t="str">
        <f>IFERROR(IF(OR(AND(AD216="Muy Baja",AF216="Leve"),AND(AD216="Muy Baja",AF216="Menor"),AND(AD216="Baja",AF216="Leve")),"Bajo",IF(OR(AND(AD216="Muy baja",AF216="Moderado"),AND(AD216="Baja",AF216="Menor"),AND(AD216="Baja",AF216="Moderado"),AND(AD216="Media",AF216="Leve"),AND(AD216="Media",AF216="Menor"),AND(AD216="Media",AF216="Moderado"),AND(AD216="Alta",AF216="Leve"),AND(AD216="Alta",AF216="Menor")),"Moderado",IF(OR(AND(AD216="Muy Baja",AF216="Mayor"),AND(AD216="Baja",AF216="Mayor"),AND(AD216="Media",AF216="Mayor"),AND(AD216="Alta",AF216="Moderado"),AND(AD216="Alta",AF216="Mayor"),AND(AD216="Muy Alta",AF216="Leve"),AND(AD216="Muy Alta",AF216="Menor"),AND(AD216="Muy Alta",AF216="Moderado"),AND(AD216="Muy Alta",AF216="Mayor")),"Alto",IF(OR(AND(AD216="Muy Baja",AF216="Catastrófico"),AND(AD216="Baja",AF216="Catastrófico"),AND(AD216="Media",AF216="Catastrófico"),AND(AD216="Alta",AF216="Catastrófico"),AND(AD216="Muy Alta",AF216="Catastrófico")),"Extremo","")))),"")</f>
        <v/>
      </c>
      <c r="AI216" s="161"/>
      <c r="AJ216" s="181"/>
      <c r="AK216" s="185"/>
      <c r="AL216" s="187"/>
      <c r="AM216" s="195"/>
      <c r="AN216" s="183"/>
      <c r="AO216" s="192"/>
      <c r="AP216" s="181"/>
    </row>
    <row r="217" spans="1:73" ht="15" customHeight="1" x14ac:dyDescent="0.2">
      <c r="A217" s="214"/>
      <c r="B217" s="241"/>
      <c r="C217" s="241"/>
      <c r="D217" s="183"/>
      <c r="E217" s="181"/>
      <c r="F217" s="181"/>
      <c r="G217" s="181"/>
      <c r="H217" s="197"/>
      <c r="I217" s="242"/>
      <c r="J217" s="217"/>
      <c r="K217" s="183"/>
      <c r="L217" s="185"/>
      <c r="M217" s="205"/>
      <c r="N217" s="206"/>
      <c r="O217" s="203"/>
      <c r="P217" s="239">
        <f>IF(NOT(ISERROR(MATCH(O217,_xlfn.ANCHORARRAY(#REF!),0))),N220&amp;"Por favor no seleccionar los criterios de impacto",O217)</f>
        <v>0</v>
      </c>
      <c r="Q217" s="205"/>
      <c r="R217" s="206"/>
      <c r="S217" s="207"/>
      <c r="T217" s="152">
        <v>5</v>
      </c>
      <c r="U217" s="160"/>
      <c r="V217" s="153" t="str">
        <f t="shared" si="411"/>
        <v/>
      </c>
      <c r="W217" s="154"/>
      <c r="X217" s="154"/>
      <c r="Y217" s="155" t="str">
        <f t="shared" si="406"/>
        <v/>
      </c>
      <c r="Z217" s="154"/>
      <c r="AA217" s="154"/>
      <c r="AB217" s="154"/>
      <c r="AC217" s="156" t="str">
        <f t="shared" si="412"/>
        <v/>
      </c>
      <c r="AD217" s="157" t="str">
        <f t="shared" si="407"/>
        <v/>
      </c>
      <c r="AE217" s="158" t="str">
        <f t="shared" si="408"/>
        <v/>
      </c>
      <c r="AF217" s="157" t="str">
        <f t="shared" si="409"/>
        <v/>
      </c>
      <c r="AG217" s="158" t="str">
        <f t="shared" si="413"/>
        <v/>
      </c>
      <c r="AH217" s="159" t="str">
        <f t="shared" ref="AH217:AH218" si="414">IFERROR(IF(OR(AND(AD217="Muy Baja",AF217="Leve"),AND(AD217="Muy Baja",AF217="Menor"),AND(AD217="Baja",AF217="Leve")),"Bajo",IF(OR(AND(AD217="Muy baja",AF217="Moderado"),AND(AD217="Baja",AF217="Menor"),AND(AD217="Baja",AF217="Moderado"),AND(AD217="Media",AF217="Leve"),AND(AD217="Media",AF217="Menor"),AND(AD217="Media",AF217="Moderado"),AND(AD217="Alta",AF217="Leve"),AND(AD217="Alta",AF217="Menor")),"Moderado",IF(OR(AND(AD217="Muy Baja",AF217="Mayor"),AND(AD217="Baja",AF217="Mayor"),AND(AD217="Media",AF217="Mayor"),AND(AD217="Alta",AF217="Moderado"),AND(AD217="Alta",AF217="Mayor"),AND(AD217="Muy Alta",AF217="Leve"),AND(AD217="Muy Alta",AF217="Menor"),AND(AD217="Muy Alta",AF217="Moderado"),AND(AD217="Muy Alta",AF217="Mayor")),"Alto",IF(OR(AND(AD217="Muy Baja",AF217="Catastrófico"),AND(AD217="Baja",AF217="Catastrófico"),AND(AD217="Media",AF217="Catastrófico"),AND(AD217="Alta",AF217="Catastrófico"),AND(AD217="Muy Alta",AF217="Catastrófico")),"Extremo","")))),"")</f>
        <v/>
      </c>
      <c r="AI217" s="161"/>
      <c r="AJ217" s="181"/>
      <c r="AK217" s="185"/>
      <c r="AL217" s="187"/>
      <c r="AM217" s="195"/>
      <c r="AN217" s="183"/>
      <c r="AO217" s="192"/>
      <c r="AP217" s="181"/>
    </row>
    <row r="218" spans="1:73" ht="15" customHeight="1" x14ac:dyDescent="0.2">
      <c r="A218" s="214"/>
      <c r="B218" s="241"/>
      <c r="C218" s="241"/>
      <c r="D218" s="183"/>
      <c r="E218" s="181"/>
      <c r="F218" s="181"/>
      <c r="G218" s="181"/>
      <c r="H218" s="197"/>
      <c r="I218" s="242"/>
      <c r="J218" s="217"/>
      <c r="K218" s="183"/>
      <c r="L218" s="185"/>
      <c r="M218" s="205"/>
      <c r="N218" s="206"/>
      <c r="O218" s="203"/>
      <c r="P218" s="239">
        <f>IF(NOT(ISERROR(MATCH(O218,_xlfn.ANCHORARRAY(#REF!),0))),N221&amp;"Por favor no seleccionar los criterios de impacto",O218)</f>
        <v>0</v>
      </c>
      <c r="Q218" s="205"/>
      <c r="R218" s="206"/>
      <c r="S218" s="207"/>
      <c r="T218" s="152">
        <v>6</v>
      </c>
      <c r="U218" s="160"/>
      <c r="V218" s="153" t="str">
        <f t="shared" si="411"/>
        <v/>
      </c>
      <c r="W218" s="154"/>
      <c r="X218" s="154"/>
      <c r="Y218" s="155" t="str">
        <f t="shared" si="406"/>
        <v/>
      </c>
      <c r="Z218" s="154"/>
      <c r="AA218" s="154"/>
      <c r="AB218" s="154"/>
      <c r="AC218" s="156" t="str">
        <f t="shared" si="412"/>
        <v/>
      </c>
      <c r="AD218" s="157" t="str">
        <f t="shared" si="407"/>
        <v/>
      </c>
      <c r="AE218" s="158" t="str">
        <f t="shared" si="408"/>
        <v/>
      </c>
      <c r="AF218" s="157" t="str">
        <f t="shared" si="409"/>
        <v/>
      </c>
      <c r="AG218" s="158" t="str">
        <f t="shared" si="413"/>
        <v/>
      </c>
      <c r="AH218" s="159" t="str">
        <f t="shared" si="414"/>
        <v/>
      </c>
      <c r="AI218" s="161"/>
      <c r="AJ218" s="181"/>
      <c r="AK218" s="185"/>
      <c r="AL218" s="187"/>
      <c r="AM218" s="195"/>
      <c r="AN218" s="183"/>
      <c r="AO218" s="192"/>
      <c r="AP218" s="181"/>
    </row>
    <row r="219" spans="1:73" ht="96.75" customHeight="1" x14ac:dyDescent="0.2">
      <c r="A219" s="214">
        <v>38</v>
      </c>
      <c r="B219" s="241" t="s">
        <v>247</v>
      </c>
      <c r="C219" s="241" t="s">
        <v>635</v>
      </c>
      <c r="D219" s="183" t="s">
        <v>267</v>
      </c>
      <c r="E219" s="181" t="s">
        <v>646</v>
      </c>
      <c r="F219" s="181" t="s">
        <v>647</v>
      </c>
      <c r="G219" s="181" t="s">
        <v>648</v>
      </c>
      <c r="H219" s="181" t="s">
        <v>649</v>
      </c>
      <c r="I219" s="242" t="s">
        <v>650</v>
      </c>
      <c r="J219" s="217" t="s">
        <v>230</v>
      </c>
      <c r="K219" s="183" t="s">
        <v>227</v>
      </c>
      <c r="L219" s="185">
        <v>24</v>
      </c>
      <c r="M219" s="205" t="str">
        <f t="shared" ref="M219" si="415">IF(L219&lt;=0,"",IF(L219&lt;=2,"Muy Baja",IF(L219&lt;=24,"Baja",IF(L219&lt;=500,"Media",IF(L219&lt;=5000,"Alta","Muy Alta")))))</f>
        <v>Baja</v>
      </c>
      <c r="N219" s="206">
        <f t="shared" ref="N219" si="416">IF(M219="","",IF(M219="Muy Baja",0.2,IF(M219="Baja",0.4,IF(M219="Media",0.6,IF(M219="Alta",0.8,IF(M219="Muy Alta",1,))))))</f>
        <v>0.4</v>
      </c>
      <c r="O219" s="203" t="s">
        <v>130</v>
      </c>
      <c r="P219" s="239" t="str">
        <f>IF(NOT(ISERROR(MATCH(O219,'Tabla Impacto'!$B$221:$B$223,0))),'Tabla Impacto'!$F$223&amp;"Por favor no seleccionar los criterios de impacto(Afectación Económica o presupuestal y Pérdida Reputacional)",O219)</f>
        <v xml:space="preserve">     Entre 100 y 500 SMLMV </v>
      </c>
      <c r="Q219" s="205" t="str">
        <f>IF(OR(P219='Tabla Impacto'!$C$11,P219='Tabla Impacto'!$D$11),"Leve",IF(OR(P219='Tabla Impacto'!$C$12,P219='Tabla Impacto'!$D$12),"Menor",IF(OR(P219='Tabla Impacto'!$C$13,P219='Tabla Impacto'!$D$13),"Moderado",IF(OR(P219='Tabla Impacto'!$C$14,P219='Tabla Impacto'!$D$14),"Mayor",IF(OR(P219='Tabla Impacto'!$C$15,P219='Tabla Impacto'!$D$15),"Catastrófico","")))))</f>
        <v>Mayor</v>
      </c>
      <c r="R219" s="206">
        <f t="shared" ref="R219" si="417">IF(Q219="","",IF(Q219="Leve",0.2,IF(Q219="Menor",0.4,IF(Q219="Moderado",0.6,IF(Q219="Mayor",0.8,IF(Q219="Catastrófico",1,))))))</f>
        <v>0.8</v>
      </c>
      <c r="S219" s="207" t="str">
        <f t="shared" ref="S219" si="418">IF(OR(AND(M219="Muy Baja",Q219="Leve"),AND(M219="Muy Baja",Q219="Menor"),AND(M219="Baja",Q219="Leve")),"Bajo",IF(OR(AND(M219="Muy baja",Q219="Moderado"),AND(M219="Baja",Q219="Menor"),AND(M219="Baja",Q219="Moderado"),AND(M219="Media",Q219="Leve"),AND(M219="Media",Q219="Menor"),AND(M219="Media",Q219="Moderado"),AND(M219="Alta",Q219="Leve"),AND(M219="Alta",Q219="Menor")),"Moderado",IF(OR(AND(M219="Muy Baja",Q219="Mayor"),AND(M219="Baja",Q219="Mayor"),AND(M219="Media",Q219="Mayor"),AND(M219="Alta",Q219="Moderado"),AND(M219="Alta",Q219="Mayor"),AND(M219="Muy Alta",Q219="Leve"),AND(M219="Muy Alta",Q219="Menor"),AND(M219="Muy Alta",Q219="Moderado"),AND(M219="Muy Alta",Q219="Mayor")),"Alto",IF(OR(AND(M219="Muy Baja",Q219="Catastrófico"),AND(M219="Baja",Q219="Catastrófico"),AND(M219="Media",Q219="Catastrófico"),AND(M219="Alta",Q219="Catastrófico"),AND(M219="Muy Alta",Q219="Catastrófico")),"Extremo",""))))</f>
        <v>Alto</v>
      </c>
      <c r="T219" s="152">
        <v>1</v>
      </c>
      <c r="U219" s="141" t="s">
        <v>672</v>
      </c>
      <c r="V219" s="153" t="str">
        <f>IF(OR(W219="Preventivo",W219="Detectivo"),"Probabilidad",IF(W219="Correctivo","Impacto",""))</f>
        <v>Probabilidad</v>
      </c>
      <c r="W219" s="154" t="s">
        <v>13</v>
      </c>
      <c r="X219" s="154" t="s">
        <v>8</v>
      </c>
      <c r="Y219" s="155" t="str">
        <f>IF(AND(W219="Preventivo",X219="Automático"),"50%",IF(AND(W219="Preventivo",X219="Manual"),"40%",IF(AND(W219="Detectivo",X219="Automático"),"40%",IF(AND(W219="Detectivo",X219="Manual"),"30%",IF(AND(W219="Correctivo",X219="Automático"),"35%",IF(AND(W219="Correctivo",X219="Manual"),"25%",""))))))</f>
        <v>40%</v>
      </c>
      <c r="Z219" s="154" t="s">
        <v>18</v>
      </c>
      <c r="AA219" s="154" t="s">
        <v>21</v>
      </c>
      <c r="AB219" s="154" t="s">
        <v>112</v>
      </c>
      <c r="AC219" s="156">
        <f>IFERROR(IF(V219="Probabilidad",(N219-(+N219*Y219)),IF(V219="Impacto",N219,"")),"")</f>
        <v>0.24</v>
      </c>
      <c r="AD219" s="157" t="str">
        <f>IFERROR(IF(AC219="","",IF(AC219&lt;=0.2,"Muy Baja",IF(AC219&lt;=0.4,"Baja",IF(AC219&lt;=0.6,"Media",IF(AC219&lt;=0.8,"Alta","Muy Alta"))))),"")</f>
        <v>Baja</v>
      </c>
      <c r="AE219" s="158">
        <f>+AC219</f>
        <v>0.24</v>
      </c>
      <c r="AF219" s="157" t="str">
        <f>IFERROR(IF(AG219="","",IF(AG219&lt;=0.2,"Leve",IF(AG219&lt;=0.4,"Menor",IF(AG219&lt;=0.6,"Moderado",IF(AG219&lt;=0.8,"Mayor","Catastrófico"))))),"")</f>
        <v>Mayor</v>
      </c>
      <c r="AG219" s="158">
        <f>IFERROR(IF(V219="Impacto",(R219-(+R219*Y219)),IF(V219="Probabilidad",R219,"")),"")</f>
        <v>0.8</v>
      </c>
      <c r="AH219" s="159" t="str">
        <f>IFERROR(IF(OR(AND(AD219="Muy Baja",AF219="Leve"),AND(AD219="Muy Baja",AF219="Menor"),AND(AD219="Baja",AF219="Leve")),"Bajo",IF(OR(AND(AD219="Muy baja",AF219="Moderado"),AND(AD219="Baja",AF219="Menor"),AND(AD219="Baja",AF219="Moderado"),AND(AD219="Media",AF219="Leve"),AND(AD219="Media",AF219="Menor"),AND(AD219="Media",AF219="Moderado"),AND(AD219="Alta",AF219="Leve"),AND(AD219="Alta",AF219="Menor")),"Moderado",IF(OR(AND(AD219="Muy Baja",AF219="Mayor"),AND(AD219="Baja",AF219="Mayor"),AND(AD219="Media",AF219="Mayor"),AND(AD219="Alta",AF219="Moderado"),AND(AD219="Alta",AF219="Mayor"),AND(AD219="Muy Alta",AF219="Leve"),AND(AD219="Muy Alta",AF219="Menor"),AND(AD219="Muy Alta",AF219="Moderado"),AND(AD219="Muy Alta",AF219="Mayor")),"Alto",IF(OR(AND(AD219="Muy Baja",AF219="Catastrófico"),AND(AD219="Baja",AF219="Catastrófico"),AND(AD219="Media",AF219="Catastrófico"),AND(AD219="Alta",AF219="Catastrófico"),AND(AD219="Muy Alta",AF219="Catastrófico")),"Extremo","")))),"")</f>
        <v>Alto</v>
      </c>
      <c r="AI219" s="161" t="s">
        <v>117</v>
      </c>
      <c r="AJ219" s="181" t="s">
        <v>685</v>
      </c>
      <c r="AK219" s="185" t="s">
        <v>207</v>
      </c>
      <c r="AL219" s="187">
        <v>45293</v>
      </c>
      <c r="AM219" s="195">
        <v>45657</v>
      </c>
      <c r="AN219" s="183" t="s">
        <v>284</v>
      </c>
      <c r="AO219" s="192" t="s">
        <v>269</v>
      </c>
      <c r="AP219" s="181" t="s">
        <v>684</v>
      </c>
      <c r="AQ219" s="10"/>
      <c r="AR219" s="10"/>
      <c r="AS219" s="10"/>
      <c r="AT219" s="10"/>
      <c r="AU219" s="10"/>
      <c r="AV219" s="10"/>
      <c r="AW219" s="10"/>
      <c r="AX219" s="10"/>
      <c r="AY219" s="10"/>
      <c r="AZ219" s="10"/>
      <c r="BA219" s="10"/>
      <c r="BB219" s="10"/>
      <c r="BC219" s="10"/>
      <c r="BD219" s="10"/>
      <c r="BE219" s="10"/>
      <c r="BF219" s="10"/>
      <c r="BG219" s="10"/>
      <c r="BH219" s="10"/>
      <c r="BI219" s="10"/>
      <c r="BJ219" s="10"/>
      <c r="BK219" s="10"/>
      <c r="BL219" s="10"/>
      <c r="BM219" s="10"/>
      <c r="BN219" s="10"/>
      <c r="BO219" s="10"/>
      <c r="BP219" s="10"/>
      <c r="BQ219" s="10"/>
      <c r="BR219" s="10"/>
      <c r="BS219" s="10"/>
      <c r="BT219" s="10"/>
      <c r="BU219" s="10"/>
    </row>
    <row r="220" spans="1:73" ht="104.25" customHeight="1" x14ac:dyDescent="0.2">
      <c r="A220" s="214"/>
      <c r="B220" s="241"/>
      <c r="C220" s="241"/>
      <c r="D220" s="183"/>
      <c r="E220" s="181"/>
      <c r="F220" s="181"/>
      <c r="G220" s="181"/>
      <c r="H220" s="181"/>
      <c r="I220" s="242"/>
      <c r="J220" s="217"/>
      <c r="K220" s="183"/>
      <c r="L220" s="185"/>
      <c r="M220" s="205"/>
      <c r="N220" s="206"/>
      <c r="O220" s="203"/>
      <c r="P220" s="239">
        <f>IF(NOT(ISERROR(MATCH(O220,_xlfn.ANCHORARRAY(#REF!),0))),#REF!&amp;"Por favor no seleccionar los criterios de impacto",O220)</f>
        <v>0</v>
      </c>
      <c r="Q220" s="205"/>
      <c r="R220" s="206"/>
      <c r="S220" s="207"/>
      <c r="T220" s="152">
        <v>2</v>
      </c>
      <c r="U220" s="141" t="s">
        <v>675</v>
      </c>
      <c r="V220" s="153" t="str">
        <f>IF(OR(W220="Preventivo",W220="Detectivo"),"Probabilidad",IF(W220="Correctivo","Impacto",""))</f>
        <v>Probabilidad</v>
      </c>
      <c r="W220" s="154" t="s">
        <v>13</v>
      </c>
      <c r="X220" s="154" t="s">
        <v>8</v>
      </c>
      <c r="Y220" s="155" t="str">
        <f t="shared" ref="Y220:Y224" si="419">IF(AND(W220="Preventivo",X220="Automático"),"50%",IF(AND(W220="Preventivo",X220="Manual"),"40%",IF(AND(W220="Detectivo",X220="Automático"),"40%",IF(AND(W220="Detectivo",X220="Manual"),"30%",IF(AND(W220="Correctivo",X220="Automático"),"35%",IF(AND(W220="Correctivo",X220="Manual"),"25%",""))))))</f>
        <v>40%</v>
      </c>
      <c r="Z220" s="154" t="s">
        <v>18</v>
      </c>
      <c r="AA220" s="154" t="s">
        <v>21</v>
      </c>
      <c r="AB220" s="154" t="s">
        <v>112</v>
      </c>
      <c r="AC220" s="156">
        <f>IFERROR(IF(AND(V219="Probabilidad",V220="Probabilidad"),(AE219-(+AE219*Y220)),IF(V220="Probabilidad",(N219-(+N219*Y220)),IF(V220="Impacto",AE219,""))),"")</f>
        <v>0.14399999999999999</v>
      </c>
      <c r="AD220" s="157" t="str">
        <f t="shared" ref="AD220:AD224" si="420">IFERROR(IF(AC220="","",IF(AC220&lt;=0.2,"Muy Baja",IF(AC220&lt;=0.4,"Baja",IF(AC220&lt;=0.6,"Media",IF(AC220&lt;=0.8,"Alta","Muy Alta"))))),"")</f>
        <v>Muy Baja</v>
      </c>
      <c r="AE220" s="158">
        <f t="shared" ref="AE220:AE224" si="421">+AC220</f>
        <v>0.14399999999999999</v>
      </c>
      <c r="AF220" s="157" t="str">
        <f t="shared" ref="AF220:AF224" si="422">IFERROR(IF(AG220="","",IF(AG220&lt;=0.2,"Leve",IF(AG220&lt;=0.4,"Menor",IF(AG220&lt;=0.6,"Moderado",IF(AG220&lt;=0.8,"Mayor","Catastrófico"))))),"")</f>
        <v>Mayor</v>
      </c>
      <c r="AG220" s="158">
        <f>IFERROR(IF(AND(V219="Impacto",V220="Impacto"),(AG219-(+AG219*Y220)),IF(V220="Impacto",(R219-(+R219*Y220)),IF(V220="Probabilidad",AG219,""))),"")</f>
        <v>0.8</v>
      </c>
      <c r="AH220" s="159" t="str">
        <f t="shared" ref="AH220:AH221" si="423">IFERROR(IF(OR(AND(AD220="Muy Baja",AF220="Leve"),AND(AD220="Muy Baja",AF220="Menor"),AND(AD220="Baja",AF220="Leve")),"Bajo",IF(OR(AND(AD220="Muy baja",AF220="Moderado"),AND(AD220="Baja",AF220="Menor"),AND(AD220="Baja",AF220="Moderado"),AND(AD220="Media",AF220="Leve"),AND(AD220="Media",AF220="Menor"),AND(AD220="Media",AF220="Moderado"),AND(AD220="Alta",AF220="Leve"),AND(AD220="Alta",AF220="Menor")),"Moderado",IF(OR(AND(AD220="Muy Baja",AF220="Mayor"),AND(AD220="Baja",AF220="Mayor"),AND(AD220="Media",AF220="Mayor"),AND(AD220="Alta",AF220="Moderado"),AND(AD220="Alta",AF220="Mayor"),AND(AD220="Muy Alta",AF220="Leve"),AND(AD220="Muy Alta",AF220="Menor"),AND(AD220="Muy Alta",AF220="Moderado"),AND(AD220="Muy Alta",AF220="Mayor")),"Alto",IF(OR(AND(AD220="Muy Baja",AF220="Catastrófico"),AND(AD220="Baja",AF220="Catastrófico"),AND(AD220="Media",AF220="Catastrófico"),AND(AD220="Alta",AF220="Catastrófico"),AND(AD220="Muy Alta",AF220="Catastrófico")),"Extremo","")))),"")</f>
        <v>Alto</v>
      </c>
      <c r="AI220" s="161" t="s">
        <v>117</v>
      </c>
      <c r="AJ220" s="181"/>
      <c r="AK220" s="185"/>
      <c r="AL220" s="187"/>
      <c r="AM220" s="195"/>
      <c r="AN220" s="183"/>
      <c r="AO220" s="192"/>
      <c r="AP220" s="181"/>
    </row>
    <row r="221" spans="1:73" ht="93" customHeight="1" x14ac:dyDescent="0.2">
      <c r="A221" s="214"/>
      <c r="B221" s="241"/>
      <c r="C221" s="241"/>
      <c r="D221" s="183"/>
      <c r="E221" s="181"/>
      <c r="F221" s="181"/>
      <c r="G221" s="181"/>
      <c r="H221" s="181"/>
      <c r="I221" s="242"/>
      <c r="J221" s="217"/>
      <c r="K221" s="183"/>
      <c r="L221" s="185"/>
      <c r="M221" s="205"/>
      <c r="N221" s="206"/>
      <c r="O221" s="203"/>
      <c r="P221" s="239">
        <f>IF(NOT(ISERROR(MATCH(O221,_xlfn.ANCHORARRAY(#REF!),0))),#REF!&amp;"Por favor no seleccionar los criterios de impacto",O221)</f>
        <v>0</v>
      </c>
      <c r="Q221" s="205"/>
      <c r="R221" s="206"/>
      <c r="S221" s="207"/>
      <c r="T221" s="152">
        <v>3</v>
      </c>
      <c r="U221" s="141" t="s">
        <v>676</v>
      </c>
      <c r="V221" s="153" t="str">
        <f>IF(OR(W221="Preventivo",W221="Detectivo"),"Probabilidad",IF(W221="Correctivo","Impacto",""))</f>
        <v>Probabilidad</v>
      </c>
      <c r="W221" s="154" t="s">
        <v>13</v>
      </c>
      <c r="X221" s="154" t="s">
        <v>8</v>
      </c>
      <c r="Y221" s="155" t="str">
        <f t="shared" si="419"/>
        <v>40%</v>
      </c>
      <c r="Z221" s="154" t="s">
        <v>18</v>
      </c>
      <c r="AA221" s="154" t="s">
        <v>21</v>
      </c>
      <c r="AB221" s="154" t="s">
        <v>112</v>
      </c>
      <c r="AC221" s="156">
        <f>IFERROR(IF(AND(V220="Probabilidad",V221="Probabilidad"),(AE220-(+AE220*Y221)),IF(AND(V220="Impacto",V221="Probabilidad"),(AE219-(+AE219*Y221)),IF(V221="Impacto",AE220,""))),"")</f>
        <v>8.6399999999999991E-2</v>
      </c>
      <c r="AD221" s="157" t="str">
        <f t="shared" si="420"/>
        <v>Muy Baja</v>
      </c>
      <c r="AE221" s="158">
        <f t="shared" si="421"/>
        <v>8.6399999999999991E-2</v>
      </c>
      <c r="AF221" s="157" t="str">
        <f t="shared" si="422"/>
        <v>Mayor</v>
      </c>
      <c r="AG221" s="158">
        <f>IFERROR(IF(AND(V220="Impacto",V221="Impacto"),(AG220-(+AG220*Y221)),IF(AND(V220="Probabilidad",V221="Impacto"),(AG219-(+AG219*Y221)),IF(V221="Probabilidad",AG220,""))),"")</f>
        <v>0.8</v>
      </c>
      <c r="AH221" s="159" t="str">
        <f t="shared" si="423"/>
        <v>Alto</v>
      </c>
      <c r="AI221" s="161" t="s">
        <v>117</v>
      </c>
      <c r="AJ221" s="181"/>
      <c r="AK221" s="185"/>
      <c r="AL221" s="187"/>
      <c r="AM221" s="195"/>
      <c r="AN221" s="183"/>
      <c r="AO221" s="192"/>
      <c r="AP221" s="181"/>
    </row>
    <row r="222" spans="1:73" ht="115.5" customHeight="1" x14ac:dyDescent="0.2">
      <c r="A222" s="214"/>
      <c r="B222" s="241"/>
      <c r="C222" s="241"/>
      <c r="D222" s="183"/>
      <c r="E222" s="181"/>
      <c r="F222" s="181"/>
      <c r="G222" s="181"/>
      <c r="H222" s="181"/>
      <c r="I222" s="242"/>
      <c r="J222" s="217"/>
      <c r="K222" s="183"/>
      <c r="L222" s="185"/>
      <c r="M222" s="205"/>
      <c r="N222" s="206"/>
      <c r="O222" s="203"/>
      <c r="P222" s="239">
        <f>IF(NOT(ISERROR(MATCH(O222,_xlfn.ANCHORARRAY(#REF!),0))),#REF!&amp;"Por favor no seleccionar los criterios de impacto",O222)</f>
        <v>0</v>
      </c>
      <c r="Q222" s="205"/>
      <c r="R222" s="206"/>
      <c r="S222" s="207"/>
      <c r="T222" s="152">
        <v>4</v>
      </c>
      <c r="U222" s="141" t="s">
        <v>677</v>
      </c>
      <c r="V222" s="153" t="str">
        <f t="shared" ref="V222:V224" si="424">IF(OR(W222="Preventivo",W222="Detectivo"),"Probabilidad",IF(W222="Correctivo","Impacto",""))</f>
        <v>Probabilidad</v>
      </c>
      <c r="W222" s="154" t="s">
        <v>13</v>
      </c>
      <c r="X222" s="154" t="s">
        <v>8</v>
      </c>
      <c r="Y222" s="155" t="str">
        <f t="shared" si="419"/>
        <v>40%</v>
      </c>
      <c r="Z222" s="154" t="s">
        <v>18</v>
      </c>
      <c r="AA222" s="154" t="s">
        <v>21</v>
      </c>
      <c r="AB222" s="154" t="s">
        <v>112</v>
      </c>
      <c r="AC222" s="156">
        <f t="shared" ref="AC222:AC224" si="425">IFERROR(IF(AND(V221="Probabilidad",V222="Probabilidad"),(AE221-(+AE221*Y222)),IF(AND(V221="Impacto",V222="Probabilidad"),(AE220-(+AE220*Y222)),IF(V222="Impacto",AE221,""))),"")</f>
        <v>5.183999999999999E-2</v>
      </c>
      <c r="AD222" s="157" t="str">
        <f t="shared" si="420"/>
        <v>Muy Baja</v>
      </c>
      <c r="AE222" s="158">
        <f t="shared" si="421"/>
        <v>5.183999999999999E-2</v>
      </c>
      <c r="AF222" s="157" t="str">
        <f t="shared" si="422"/>
        <v>Mayor</v>
      </c>
      <c r="AG222" s="158">
        <f t="shared" ref="AG222:AG224" si="426">IFERROR(IF(AND(V221="Impacto",V222="Impacto"),(AG221-(+AG221*Y222)),IF(AND(V221="Probabilidad",V222="Impacto"),(AG220-(+AG220*Y222)),IF(V222="Probabilidad",AG221,""))),"")</f>
        <v>0.8</v>
      </c>
      <c r="AH222" s="159" t="str">
        <f>IFERROR(IF(OR(AND(AD222="Muy Baja",AF222="Leve"),AND(AD222="Muy Baja",AF222="Menor"),AND(AD222="Baja",AF222="Leve")),"Bajo",IF(OR(AND(AD222="Muy baja",AF222="Moderado"),AND(AD222="Baja",AF222="Menor"),AND(AD222="Baja",AF222="Moderado"),AND(AD222="Media",AF222="Leve"),AND(AD222="Media",AF222="Menor"),AND(AD222="Media",AF222="Moderado"),AND(AD222="Alta",AF222="Leve"),AND(AD222="Alta",AF222="Menor")),"Moderado",IF(OR(AND(AD222="Muy Baja",AF222="Mayor"),AND(AD222="Baja",AF222="Mayor"),AND(AD222="Media",AF222="Mayor"),AND(AD222="Alta",AF222="Moderado"),AND(AD222="Alta",AF222="Mayor"),AND(AD222="Muy Alta",AF222="Leve"),AND(AD222="Muy Alta",AF222="Menor"),AND(AD222="Muy Alta",AF222="Moderado"),AND(AD222="Muy Alta",AF222="Mayor")),"Alto",IF(OR(AND(AD222="Muy Baja",AF222="Catastrófico"),AND(AD222="Baja",AF222="Catastrófico"),AND(AD222="Media",AF222="Catastrófico"),AND(AD222="Alta",AF222="Catastrófico"),AND(AD222="Muy Alta",AF222="Catastrófico")),"Extremo","")))),"")</f>
        <v>Alto</v>
      </c>
      <c r="AI222" s="161" t="s">
        <v>117</v>
      </c>
      <c r="AJ222" s="181"/>
      <c r="AK222" s="185"/>
      <c r="AL222" s="187"/>
      <c r="AM222" s="195"/>
      <c r="AN222" s="183"/>
      <c r="AO222" s="192"/>
      <c r="AP222" s="181"/>
    </row>
    <row r="223" spans="1:73" ht="15" customHeight="1" x14ac:dyDescent="0.2">
      <c r="A223" s="214"/>
      <c r="B223" s="241"/>
      <c r="C223" s="241"/>
      <c r="D223" s="183"/>
      <c r="E223" s="181"/>
      <c r="F223" s="181"/>
      <c r="G223" s="181"/>
      <c r="H223" s="181"/>
      <c r="I223" s="242"/>
      <c r="J223" s="217"/>
      <c r="K223" s="183"/>
      <c r="L223" s="185"/>
      <c r="M223" s="205"/>
      <c r="N223" s="206"/>
      <c r="O223" s="203"/>
      <c r="P223" s="239">
        <f>IF(NOT(ISERROR(MATCH(O223,_xlfn.ANCHORARRAY(#REF!),0))),N226&amp;"Por favor no seleccionar los criterios de impacto",O223)</f>
        <v>0</v>
      </c>
      <c r="Q223" s="205"/>
      <c r="R223" s="206"/>
      <c r="S223" s="207"/>
      <c r="T223" s="152">
        <v>5</v>
      </c>
      <c r="U223" s="160"/>
      <c r="V223" s="153" t="str">
        <f t="shared" si="424"/>
        <v/>
      </c>
      <c r="W223" s="154"/>
      <c r="X223" s="154"/>
      <c r="Y223" s="155" t="str">
        <f t="shared" si="419"/>
        <v/>
      </c>
      <c r="Z223" s="154"/>
      <c r="AA223" s="154"/>
      <c r="AB223" s="154"/>
      <c r="AC223" s="156" t="str">
        <f t="shared" si="425"/>
        <v/>
      </c>
      <c r="AD223" s="157" t="str">
        <f t="shared" si="420"/>
        <v/>
      </c>
      <c r="AE223" s="158" t="str">
        <f t="shared" si="421"/>
        <v/>
      </c>
      <c r="AF223" s="157" t="str">
        <f t="shared" si="422"/>
        <v/>
      </c>
      <c r="AG223" s="158" t="str">
        <f t="shared" si="426"/>
        <v/>
      </c>
      <c r="AH223" s="159" t="str">
        <f t="shared" ref="AH223:AH224" si="427">IFERROR(IF(OR(AND(AD223="Muy Baja",AF223="Leve"),AND(AD223="Muy Baja",AF223="Menor"),AND(AD223="Baja",AF223="Leve")),"Bajo",IF(OR(AND(AD223="Muy baja",AF223="Moderado"),AND(AD223="Baja",AF223="Menor"),AND(AD223="Baja",AF223="Moderado"),AND(AD223="Media",AF223="Leve"),AND(AD223="Media",AF223="Menor"),AND(AD223="Media",AF223="Moderado"),AND(AD223="Alta",AF223="Leve"),AND(AD223="Alta",AF223="Menor")),"Moderado",IF(OR(AND(AD223="Muy Baja",AF223="Mayor"),AND(AD223="Baja",AF223="Mayor"),AND(AD223="Media",AF223="Mayor"),AND(AD223="Alta",AF223="Moderado"),AND(AD223="Alta",AF223="Mayor"),AND(AD223="Muy Alta",AF223="Leve"),AND(AD223="Muy Alta",AF223="Menor"),AND(AD223="Muy Alta",AF223="Moderado"),AND(AD223="Muy Alta",AF223="Mayor")),"Alto",IF(OR(AND(AD223="Muy Baja",AF223="Catastrófico"),AND(AD223="Baja",AF223="Catastrófico"),AND(AD223="Media",AF223="Catastrófico"),AND(AD223="Alta",AF223="Catastrófico"),AND(AD223="Muy Alta",AF223="Catastrófico")),"Extremo","")))),"")</f>
        <v/>
      </c>
      <c r="AI223" s="161"/>
      <c r="AJ223" s="181"/>
      <c r="AK223" s="185"/>
      <c r="AL223" s="187"/>
      <c r="AM223" s="195"/>
      <c r="AN223" s="183"/>
      <c r="AO223" s="192"/>
      <c r="AP223" s="181"/>
    </row>
    <row r="224" spans="1:73" ht="15" customHeight="1" x14ac:dyDescent="0.2">
      <c r="A224" s="214"/>
      <c r="B224" s="241"/>
      <c r="C224" s="241"/>
      <c r="D224" s="183"/>
      <c r="E224" s="181"/>
      <c r="F224" s="181"/>
      <c r="G224" s="181"/>
      <c r="H224" s="181"/>
      <c r="I224" s="242"/>
      <c r="J224" s="217"/>
      <c r="K224" s="183"/>
      <c r="L224" s="185"/>
      <c r="M224" s="205"/>
      <c r="N224" s="206"/>
      <c r="O224" s="203"/>
      <c r="P224" s="239">
        <f>IF(NOT(ISERROR(MATCH(O224,_xlfn.ANCHORARRAY(#REF!),0))),N227&amp;"Por favor no seleccionar los criterios de impacto",O224)</f>
        <v>0</v>
      </c>
      <c r="Q224" s="205"/>
      <c r="R224" s="206"/>
      <c r="S224" s="207"/>
      <c r="T224" s="152">
        <v>6</v>
      </c>
      <c r="U224" s="160"/>
      <c r="V224" s="153" t="str">
        <f t="shared" si="424"/>
        <v/>
      </c>
      <c r="W224" s="154"/>
      <c r="X224" s="154"/>
      <c r="Y224" s="155" t="str">
        <f t="shared" si="419"/>
        <v/>
      </c>
      <c r="Z224" s="154"/>
      <c r="AA224" s="154"/>
      <c r="AB224" s="154"/>
      <c r="AC224" s="156" t="str">
        <f t="shared" si="425"/>
        <v/>
      </c>
      <c r="AD224" s="157" t="str">
        <f t="shared" si="420"/>
        <v/>
      </c>
      <c r="AE224" s="158" t="str">
        <f t="shared" si="421"/>
        <v/>
      </c>
      <c r="AF224" s="157" t="str">
        <f t="shared" si="422"/>
        <v/>
      </c>
      <c r="AG224" s="158" t="str">
        <f t="shared" si="426"/>
        <v/>
      </c>
      <c r="AH224" s="159" t="str">
        <f t="shared" si="427"/>
        <v/>
      </c>
      <c r="AI224" s="161"/>
      <c r="AJ224" s="181"/>
      <c r="AK224" s="185"/>
      <c r="AL224" s="187"/>
      <c r="AM224" s="195"/>
      <c r="AN224" s="183"/>
      <c r="AO224" s="192"/>
      <c r="AP224" s="181"/>
    </row>
    <row r="225" spans="1:73" ht="70.5" customHeight="1" x14ac:dyDescent="0.2">
      <c r="A225" s="214">
        <v>39</v>
      </c>
      <c r="B225" s="241" t="s">
        <v>247</v>
      </c>
      <c r="C225" s="241" t="s">
        <v>635</v>
      </c>
      <c r="D225" s="183" t="s">
        <v>268</v>
      </c>
      <c r="E225" s="181" t="s">
        <v>651</v>
      </c>
      <c r="F225" s="181" t="s">
        <v>652</v>
      </c>
      <c r="G225" s="181" t="s">
        <v>653</v>
      </c>
      <c r="H225" s="181" t="s">
        <v>654</v>
      </c>
      <c r="I225" s="242" t="s">
        <v>655</v>
      </c>
      <c r="J225" s="217" t="s">
        <v>230</v>
      </c>
      <c r="K225" s="183" t="s">
        <v>227</v>
      </c>
      <c r="L225" s="185">
        <v>10</v>
      </c>
      <c r="M225" s="205" t="str">
        <f t="shared" ref="M225" si="428">IF(L225&lt;=0,"",IF(L225&lt;=2,"Muy Baja",IF(L225&lt;=24,"Baja",IF(L225&lt;=500,"Media",IF(L225&lt;=5000,"Alta","Muy Alta")))))</f>
        <v>Baja</v>
      </c>
      <c r="N225" s="206">
        <f t="shared" ref="N225" si="429">IF(M225="","",IF(M225="Muy Baja",0.2,IF(M225="Baja",0.4,IF(M225="Media",0.6,IF(M225="Alta",0.8,IF(M225="Muy Alta",1,))))))</f>
        <v>0.4</v>
      </c>
      <c r="O225" s="203" t="s">
        <v>131</v>
      </c>
      <c r="P225" s="239" t="str">
        <f>IF(NOT(ISERROR(MATCH(O225,'Tabla Impacto'!$B$221:$B$223,0))),'Tabla Impacto'!$F$223&amp;"Por favor no seleccionar los criterios de impacto(Afectación Económica o presupuestal y Pérdida Reputacional)",O225)</f>
        <v xml:space="preserve">     Mayor a 500 SMLMV </v>
      </c>
      <c r="Q225" s="205" t="str">
        <f>IF(OR(P225='Tabla Impacto'!$C$11,P225='Tabla Impacto'!$D$11),"Leve",IF(OR(P225='Tabla Impacto'!$C$12,P225='Tabla Impacto'!$D$12),"Menor",IF(OR(P225='Tabla Impacto'!$C$13,P225='Tabla Impacto'!$D$13),"Moderado",IF(OR(P225='Tabla Impacto'!$C$14,P225='Tabla Impacto'!$D$14),"Mayor",IF(OR(P225='Tabla Impacto'!$C$15,P225='Tabla Impacto'!$D$15),"Catastrófico","")))))</f>
        <v>Catastrófico</v>
      </c>
      <c r="R225" s="206">
        <f t="shared" ref="R225" si="430">IF(Q225="","",IF(Q225="Leve",0.2,IF(Q225="Menor",0.4,IF(Q225="Moderado",0.6,IF(Q225="Mayor",0.8,IF(Q225="Catastrófico",1,))))))</f>
        <v>1</v>
      </c>
      <c r="S225" s="207" t="str">
        <f t="shared" ref="S225" si="431">IF(OR(AND(M225="Muy Baja",Q225="Leve"),AND(M225="Muy Baja",Q225="Menor"),AND(M225="Baja",Q225="Leve")),"Bajo",IF(OR(AND(M225="Muy baja",Q225="Moderado"),AND(M225="Baja",Q225="Menor"),AND(M225="Baja",Q225="Moderado"),AND(M225="Media",Q225="Leve"),AND(M225="Media",Q225="Menor"),AND(M225="Media",Q225="Moderado"),AND(M225="Alta",Q225="Leve"),AND(M225="Alta",Q225="Menor")),"Moderado",IF(OR(AND(M225="Muy Baja",Q225="Mayor"),AND(M225="Baja",Q225="Mayor"),AND(M225="Media",Q225="Mayor"),AND(M225="Alta",Q225="Moderado"),AND(M225="Alta",Q225="Mayor"),AND(M225="Muy Alta",Q225="Leve"),AND(M225="Muy Alta",Q225="Menor"),AND(M225="Muy Alta",Q225="Moderado"),AND(M225="Muy Alta",Q225="Mayor")),"Alto",IF(OR(AND(M225="Muy Baja",Q225="Catastrófico"),AND(M225="Baja",Q225="Catastrófico"),AND(M225="Media",Q225="Catastrófico"),AND(M225="Alta",Q225="Catastrófico"),AND(M225="Muy Alta",Q225="Catastrófico")),"Extremo",""))))</f>
        <v>Extremo</v>
      </c>
      <c r="T225" s="152">
        <v>1</v>
      </c>
      <c r="U225" s="141" t="s">
        <v>823</v>
      </c>
      <c r="V225" s="153" t="str">
        <f>IF(OR(W225="Preventivo",W225="Detectivo"),"Probabilidad",IF(W225="Correctivo","Impacto",""))</f>
        <v>Probabilidad</v>
      </c>
      <c r="W225" s="154" t="s">
        <v>13</v>
      </c>
      <c r="X225" s="154" t="s">
        <v>8</v>
      </c>
      <c r="Y225" s="155" t="str">
        <f>IF(AND(W225="Preventivo",X225="Automático"),"50%",IF(AND(W225="Preventivo",X225="Manual"),"40%",IF(AND(W225="Detectivo",X225="Automático"),"40%",IF(AND(W225="Detectivo",X225="Manual"),"30%",IF(AND(W225="Correctivo",X225="Automático"),"35%",IF(AND(W225="Correctivo",X225="Manual"),"25%",""))))))</f>
        <v>40%</v>
      </c>
      <c r="Z225" s="154" t="s">
        <v>18</v>
      </c>
      <c r="AA225" s="154" t="s">
        <v>21</v>
      </c>
      <c r="AB225" s="154" t="s">
        <v>112</v>
      </c>
      <c r="AC225" s="156">
        <f>IFERROR(IF(V225="Probabilidad",(N225-(+N225*Y225)),IF(V225="Impacto",N225,"")),"")</f>
        <v>0.24</v>
      </c>
      <c r="AD225" s="157" t="str">
        <f>IFERROR(IF(AC225="","",IF(AC225&lt;=0.2,"Muy Baja",IF(AC225&lt;=0.4,"Baja",IF(AC225&lt;=0.6,"Media",IF(AC225&lt;=0.8,"Alta","Muy Alta"))))),"")</f>
        <v>Baja</v>
      </c>
      <c r="AE225" s="158">
        <f>+AC225</f>
        <v>0.24</v>
      </c>
      <c r="AF225" s="157" t="str">
        <f>IFERROR(IF(AG225="","",IF(AG225&lt;=0.2,"Leve",IF(AG225&lt;=0.4,"Menor",IF(AG225&lt;=0.6,"Moderado",IF(AG225&lt;=0.8,"Mayor","Catastrófico"))))),"")</f>
        <v>Catastrófico</v>
      </c>
      <c r="AG225" s="158">
        <f>IFERROR(IF(V225="Impacto",(R225-(+R225*Y225)),IF(V225="Probabilidad",R225,"")),"")</f>
        <v>1</v>
      </c>
      <c r="AH225" s="159" t="str">
        <f>IFERROR(IF(OR(AND(AD225="Muy Baja",AF225="Leve"),AND(AD225="Muy Baja",AF225="Menor"),AND(AD225="Baja",AF225="Leve")),"Bajo",IF(OR(AND(AD225="Muy baja",AF225="Moderado"),AND(AD225="Baja",AF225="Menor"),AND(AD225="Baja",AF225="Moderado"),AND(AD225="Media",AF225="Leve"),AND(AD225="Media",AF225="Menor"),AND(AD225="Media",AF225="Moderado"),AND(AD225="Alta",AF225="Leve"),AND(AD225="Alta",AF225="Menor")),"Moderado",IF(OR(AND(AD225="Muy Baja",AF225="Mayor"),AND(AD225="Baja",AF225="Mayor"),AND(AD225="Media",AF225="Mayor"),AND(AD225="Alta",AF225="Moderado"),AND(AD225="Alta",AF225="Mayor"),AND(AD225="Muy Alta",AF225="Leve"),AND(AD225="Muy Alta",AF225="Menor"),AND(AD225="Muy Alta",AF225="Moderado"),AND(AD225="Muy Alta",AF225="Mayor")),"Alto",IF(OR(AND(AD225="Muy Baja",AF225="Catastrófico"),AND(AD225="Baja",AF225="Catastrófico"),AND(AD225="Media",AF225="Catastrófico"),AND(AD225="Alta",AF225="Catastrófico"),AND(AD225="Muy Alta",AF225="Catastrófico")),"Extremo","")))),"")</f>
        <v>Extremo</v>
      </c>
      <c r="AI225" s="161" t="s">
        <v>117</v>
      </c>
      <c r="AJ225" s="181" t="s">
        <v>686</v>
      </c>
      <c r="AK225" s="185" t="s">
        <v>207</v>
      </c>
      <c r="AL225" s="187">
        <v>45293</v>
      </c>
      <c r="AM225" s="195">
        <v>45657</v>
      </c>
      <c r="AN225" s="183" t="s">
        <v>284</v>
      </c>
      <c r="AO225" s="192" t="s">
        <v>269</v>
      </c>
      <c r="AP225" s="181" t="s">
        <v>687</v>
      </c>
      <c r="AQ225" s="10"/>
      <c r="AR225" s="10"/>
      <c r="AS225" s="10"/>
      <c r="AT225" s="10"/>
      <c r="AU225" s="10"/>
      <c r="AV225" s="10"/>
      <c r="AW225" s="10"/>
      <c r="AX225" s="10"/>
      <c r="AY225" s="10"/>
      <c r="AZ225" s="10"/>
      <c r="BA225" s="10"/>
      <c r="BB225" s="10"/>
      <c r="BC225" s="10"/>
      <c r="BD225" s="10"/>
      <c r="BE225" s="10"/>
      <c r="BF225" s="10"/>
      <c r="BG225" s="10"/>
      <c r="BH225" s="10"/>
      <c r="BI225" s="10"/>
      <c r="BJ225" s="10"/>
      <c r="BK225" s="10"/>
      <c r="BL225" s="10"/>
      <c r="BM225" s="10"/>
      <c r="BN225" s="10"/>
      <c r="BO225" s="10"/>
      <c r="BP225" s="10"/>
      <c r="BQ225" s="10"/>
      <c r="BR225" s="10"/>
      <c r="BS225" s="10"/>
      <c r="BT225" s="10"/>
      <c r="BU225" s="10"/>
    </row>
    <row r="226" spans="1:73" ht="90" customHeight="1" x14ac:dyDescent="0.2">
      <c r="A226" s="214"/>
      <c r="B226" s="241"/>
      <c r="C226" s="241"/>
      <c r="D226" s="183"/>
      <c r="E226" s="181"/>
      <c r="F226" s="181"/>
      <c r="G226" s="181"/>
      <c r="H226" s="181"/>
      <c r="I226" s="242"/>
      <c r="J226" s="217"/>
      <c r="K226" s="183"/>
      <c r="L226" s="185"/>
      <c r="M226" s="205"/>
      <c r="N226" s="206"/>
      <c r="O226" s="203"/>
      <c r="P226" s="239">
        <f>IF(NOT(ISERROR(MATCH(O226,_xlfn.ANCHORARRAY(#REF!),0))),#REF!&amp;"Por favor no seleccionar los criterios de impacto",O226)</f>
        <v>0</v>
      </c>
      <c r="Q226" s="205"/>
      <c r="R226" s="206"/>
      <c r="S226" s="207"/>
      <c r="T226" s="152">
        <v>2</v>
      </c>
      <c r="U226" s="141" t="s">
        <v>824</v>
      </c>
      <c r="V226" s="153" t="str">
        <f>IF(OR(W226="Preventivo",W226="Detectivo"),"Probabilidad",IF(W226="Correctivo","Impacto",""))</f>
        <v>Probabilidad</v>
      </c>
      <c r="W226" s="154" t="s">
        <v>14</v>
      </c>
      <c r="X226" s="154" t="s">
        <v>8</v>
      </c>
      <c r="Y226" s="155" t="str">
        <f t="shared" ref="Y226:Y230" si="432">IF(AND(W226="Preventivo",X226="Automático"),"50%",IF(AND(W226="Preventivo",X226="Manual"),"40%",IF(AND(W226="Detectivo",X226="Automático"),"40%",IF(AND(W226="Detectivo",X226="Manual"),"30%",IF(AND(W226="Correctivo",X226="Automático"),"35%",IF(AND(W226="Correctivo",X226="Manual"),"25%",""))))))</f>
        <v>30%</v>
      </c>
      <c r="Z226" s="154" t="s">
        <v>18</v>
      </c>
      <c r="AA226" s="154" t="s">
        <v>21</v>
      </c>
      <c r="AB226" s="154" t="s">
        <v>112</v>
      </c>
      <c r="AC226" s="156">
        <f>IFERROR(IF(AND(V225="Probabilidad",V226="Probabilidad"),(AE225-(+AE225*Y226)),IF(V226="Probabilidad",(N225-(+N225*Y226)),IF(V226="Impacto",AE225,""))),"")</f>
        <v>0.16799999999999998</v>
      </c>
      <c r="AD226" s="157" t="str">
        <f t="shared" ref="AD226:AD230" si="433">IFERROR(IF(AC226="","",IF(AC226&lt;=0.2,"Muy Baja",IF(AC226&lt;=0.4,"Baja",IF(AC226&lt;=0.6,"Media",IF(AC226&lt;=0.8,"Alta","Muy Alta"))))),"")</f>
        <v>Muy Baja</v>
      </c>
      <c r="AE226" s="158">
        <f t="shared" ref="AE226:AE230" si="434">+AC226</f>
        <v>0.16799999999999998</v>
      </c>
      <c r="AF226" s="157" t="str">
        <f t="shared" ref="AF226:AF230" si="435">IFERROR(IF(AG226="","",IF(AG226&lt;=0.2,"Leve",IF(AG226&lt;=0.4,"Menor",IF(AG226&lt;=0.6,"Moderado",IF(AG226&lt;=0.8,"Mayor","Catastrófico"))))),"")</f>
        <v>Catastrófico</v>
      </c>
      <c r="AG226" s="158">
        <f>IFERROR(IF(AND(V225="Impacto",V226="Impacto"),(AG225-(+AG225*Y226)),IF(V226="Impacto",(R225-(+R225*Y226)),IF(V226="Probabilidad",AG225,""))),"")</f>
        <v>1</v>
      </c>
      <c r="AH226" s="159" t="str">
        <f t="shared" ref="AH226:AH227" si="436">IFERROR(IF(OR(AND(AD226="Muy Baja",AF226="Leve"),AND(AD226="Muy Baja",AF226="Menor"),AND(AD226="Baja",AF226="Leve")),"Bajo",IF(OR(AND(AD226="Muy baja",AF226="Moderado"),AND(AD226="Baja",AF226="Menor"),AND(AD226="Baja",AF226="Moderado"),AND(AD226="Media",AF226="Leve"),AND(AD226="Media",AF226="Menor"),AND(AD226="Media",AF226="Moderado"),AND(AD226="Alta",AF226="Leve"),AND(AD226="Alta",AF226="Menor")),"Moderado",IF(OR(AND(AD226="Muy Baja",AF226="Mayor"),AND(AD226="Baja",AF226="Mayor"),AND(AD226="Media",AF226="Mayor"),AND(AD226="Alta",AF226="Moderado"),AND(AD226="Alta",AF226="Mayor"),AND(AD226="Muy Alta",AF226="Leve"),AND(AD226="Muy Alta",AF226="Menor"),AND(AD226="Muy Alta",AF226="Moderado"),AND(AD226="Muy Alta",AF226="Mayor")),"Alto",IF(OR(AND(AD226="Muy Baja",AF226="Catastrófico"),AND(AD226="Baja",AF226="Catastrófico"),AND(AD226="Media",AF226="Catastrófico"),AND(AD226="Alta",AF226="Catastrófico"),AND(AD226="Muy Alta",AF226="Catastrófico")),"Extremo","")))),"")</f>
        <v>Extremo</v>
      </c>
      <c r="AI226" s="161" t="s">
        <v>117</v>
      </c>
      <c r="AJ226" s="181"/>
      <c r="AK226" s="185"/>
      <c r="AL226" s="187"/>
      <c r="AM226" s="195"/>
      <c r="AN226" s="183"/>
      <c r="AO226" s="192"/>
      <c r="AP226" s="181"/>
    </row>
    <row r="227" spans="1:73" ht="15" customHeight="1" x14ac:dyDescent="0.2">
      <c r="A227" s="214"/>
      <c r="B227" s="241"/>
      <c r="C227" s="241"/>
      <c r="D227" s="183"/>
      <c r="E227" s="181"/>
      <c r="F227" s="181"/>
      <c r="G227" s="181"/>
      <c r="H227" s="181"/>
      <c r="I227" s="242"/>
      <c r="J227" s="217"/>
      <c r="K227" s="183"/>
      <c r="L227" s="185"/>
      <c r="M227" s="205"/>
      <c r="N227" s="206"/>
      <c r="O227" s="203"/>
      <c r="P227" s="239">
        <f>IF(NOT(ISERROR(MATCH(O227,_xlfn.ANCHORARRAY(#REF!),0))),#REF!&amp;"Por favor no seleccionar los criterios de impacto",O227)</f>
        <v>0</v>
      </c>
      <c r="Q227" s="205"/>
      <c r="R227" s="206"/>
      <c r="S227" s="207"/>
      <c r="T227" s="152">
        <v>3</v>
      </c>
      <c r="U227" s="167"/>
      <c r="V227" s="153" t="str">
        <f>IF(OR(W227="Preventivo",W227="Detectivo"),"Probabilidad",IF(W227="Correctivo","Impacto",""))</f>
        <v/>
      </c>
      <c r="W227" s="154"/>
      <c r="X227" s="154"/>
      <c r="Y227" s="155" t="str">
        <f t="shared" si="432"/>
        <v/>
      </c>
      <c r="Z227" s="154"/>
      <c r="AA227" s="154"/>
      <c r="AB227" s="154"/>
      <c r="AC227" s="156" t="str">
        <f>IFERROR(IF(AND(V226="Probabilidad",V227="Probabilidad"),(AE226-(+AE226*Y227)),IF(AND(V226="Impacto",V227="Probabilidad"),(AE225-(+AE225*Y227)),IF(V227="Impacto",AE226,""))),"")</f>
        <v/>
      </c>
      <c r="AD227" s="157" t="str">
        <f t="shared" si="433"/>
        <v/>
      </c>
      <c r="AE227" s="158" t="str">
        <f t="shared" si="434"/>
        <v/>
      </c>
      <c r="AF227" s="157" t="str">
        <f t="shared" si="435"/>
        <v/>
      </c>
      <c r="AG227" s="158" t="str">
        <f>IFERROR(IF(AND(V226="Impacto",V227="Impacto"),(AG226-(+AG226*Y227)),IF(AND(V226="Probabilidad",V227="Impacto"),(AG225-(+AG225*Y227)),IF(V227="Probabilidad",AG226,""))),"")</f>
        <v/>
      </c>
      <c r="AH227" s="159" t="str">
        <f t="shared" si="436"/>
        <v/>
      </c>
      <c r="AI227" s="161"/>
      <c r="AJ227" s="181"/>
      <c r="AK227" s="185"/>
      <c r="AL227" s="187"/>
      <c r="AM227" s="195"/>
      <c r="AN227" s="183"/>
      <c r="AO227" s="192"/>
      <c r="AP227" s="181"/>
    </row>
    <row r="228" spans="1:73" ht="15" customHeight="1" x14ac:dyDescent="0.2">
      <c r="A228" s="214"/>
      <c r="B228" s="241"/>
      <c r="C228" s="241"/>
      <c r="D228" s="183"/>
      <c r="E228" s="181"/>
      <c r="F228" s="181"/>
      <c r="G228" s="181"/>
      <c r="H228" s="181"/>
      <c r="I228" s="242"/>
      <c r="J228" s="217"/>
      <c r="K228" s="183"/>
      <c r="L228" s="185"/>
      <c r="M228" s="205"/>
      <c r="N228" s="206"/>
      <c r="O228" s="203"/>
      <c r="P228" s="239">
        <f>IF(NOT(ISERROR(MATCH(O228,_xlfn.ANCHORARRAY(#REF!),0))),#REF!&amp;"Por favor no seleccionar los criterios de impacto",O228)</f>
        <v>0</v>
      </c>
      <c r="Q228" s="205"/>
      <c r="R228" s="206"/>
      <c r="S228" s="207"/>
      <c r="T228" s="152">
        <v>4</v>
      </c>
      <c r="U228" s="160"/>
      <c r="V228" s="153" t="str">
        <f t="shared" ref="V228:V230" si="437">IF(OR(W228="Preventivo",W228="Detectivo"),"Probabilidad",IF(W228="Correctivo","Impacto",""))</f>
        <v/>
      </c>
      <c r="W228" s="154"/>
      <c r="X228" s="154"/>
      <c r="Y228" s="155" t="str">
        <f t="shared" si="432"/>
        <v/>
      </c>
      <c r="Z228" s="154"/>
      <c r="AA228" s="154"/>
      <c r="AB228" s="154"/>
      <c r="AC228" s="156" t="str">
        <f t="shared" ref="AC228:AC230" si="438">IFERROR(IF(AND(V227="Probabilidad",V228="Probabilidad"),(AE227-(+AE227*Y228)),IF(AND(V227="Impacto",V228="Probabilidad"),(AE226-(+AE226*Y228)),IF(V228="Impacto",AE227,""))),"")</f>
        <v/>
      </c>
      <c r="AD228" s="157" t="str">
        <f t="shared" si="433"/>
        <v/>
      </c>
      <c r="AE228" s="158" t="str">
        <f t="shared" si="434"/>
        <v/>
      </c>
      <c r="AF228" s="157" t="str">
        <f t="shared" si="435"/>
        <v/>
      </c>
      <c r="AG228" s="158" t="str">
        <f t="shared" ref="AG228:AG230" si="439">IFERROR(IF(AND(V227="Impacto",V228="Impacto"),(AG227-(+AG227*Y228)),IF(AND(V227="Probabilidad",V228="Impacto"),(AG226-(+AG226*Y228)),IF(V228="Probabilidad",AG227,""))),"")</f>
        <v/>
      </c>
      <c r="AH228" s="159" t="str">
        <f>IFERROR(IF(OR(AND(AD228="Muy Baja",AF228="Leve"),AND(AD228="Muy Baja",AF228="Menor"),AND(AD228="Baja",AF228="Leve")),"Bajo",IF(OR(AND(AD228="Muy baja",AF228="Moderado"),AND(AD228="Baja",AF228="Menor"),AND(AD228="Baja",AF228="Moderado"),AND(AD228="Media",AF228="Leve"),AND(AD228="Media",AF228="Menor"),AND(AD228="Media",AF228="Moderado"),AND(AD228="Alta",AF228="Leve"),AND(AD228="Alta",AF228="Menor")),"Moderado",IF(OR(AND(AD228="Muy Baja",AF228="Mayor"),AND(AD228="Baja",AF228="Mayor"),AND(AD228="Media",AF228="Mayor"),AND(AD228="Alta",AF228="Moderado"),AND(AD228="Alta",AF228="Mayor"),AND(AD228="Muy Alta",AF228="Leve"),AND(AD228="Muy Alta",AF228="Menor"),AND(AD228="Muy Alta",AF228="Moderado"),AND(AD228="Muy Alta",AF228="Mayor")),"Alto",IF(OR(AND(AD228="Muy Baja",AF228="Catastrófico"),AND(AD228="Baja",AF228="Catastrófico"),AND(AD228="Media",AF228="Catastrófico"),AND(AD228="Alta",AF228="Catastrófico"),AND(AD228="Muy Alta",AF228="Catastrófico")),"Extremo","")))),"")</f>
        <v/>
      </c>
      <c r="AI228" s="161"/>
      <c r="AJ228" s="181"/>
      <c r="AK228" s="185"/>
      <c r="AL228" s="187"/>
      <c r="AM228" s="195"/>
      <c r="AN228" s="183"/>
      <c r="AO228" s="192"/>
      <c r="AP228" s="181"/>
    </row>
    <row r="229" spans="1:73" ht="15" customHeight="1" x14ac:dyDescent="0.2">
      <c r="A229" s="214"/>
      <c r="B229" s="241"/>
      <c r="C229" s="241"/>
      <c r="D229" s="183"/>
      <c r="E229" s="181"/>
      <c r="F229" s="181"/>
      <c r="G229" s="181"/>
      <c r="H229" s="181"/>
      <c r="I229" s="242"/>
      <c r="J229" s="217"/>
      <c r="K229" s="183"/>
      <c r="L229" s="185"/>
      <c r="M229" s="205"/>
      <c r="N229" s="206"/>
      <c r="O229" s="203"/>
      <c r="P229" s="239">
        <f>IF(NOT(ISERROR(MATCH(O229,_xlfn.ANCHORARRAY(#REF!),0))),N232&amp;"Por favor no seleccionar los criterios de impacto",O229)</f>
        <v>0</v>
      </c>
      <c r="Q229" s="205"/>
      <c r="R229" s="206"/>
      <c r="S229" s="207"/>
      <c r="T229" s="152">
        <v>5</v>
      </c>
      <c r="U229" s="160"/>
      <c r="V229" s="153" t="str">
        <f t="shared" si="437"/>
        <v/>
      </c>
      <c r="W229" s="154"/>
      <c r="X229" s="154"/>
      <c r="Y229" s="155" t="str">
        <f t="shared" si="432"/>
        <v/>
      </c>
      <c r="Z229" s="154"/>
      <c r="AA229" s="154"/>
      <c r="AB229" s="154"/>
      <c r="AC229" s="156" t="str">
        <f t="shared" si="438"/>
        <v/>
      </c>
      <c r="AD229" s="157" t="str">
        <f t="shared" si="433"/>
        <v/>
      </c>
      <c r="AE229" s="158" t="str">
        <f t="shared" si="434"/>
        <v/>
      </c>
      <c r="AF229" s="157" t="str">
        <f t="shared" si="435"/>
        <v/>
      </c>
      <c r="AG229" s="158" t="str">
        <f t="shared" si="439"/>
        <v/>
      </c>
      <c r="AH229" s="159" t="str">
        <f t="shared" ref="AH229:AH230" si="440">IFERROR(IF(OR(AND(AD229="Muy Baja",AF229="Leve"),AND(AD229="Muy Baja",AF229="Menor"),AND(AD229="Baja",AF229="Leve")),"Bajo",IF(OR(AND(AD229="Muy baja",AF229="Moderado"),AND(AD229="Baja",AF229="Menor"),AND(AD229="Baja",AF229="Moderado"),AND(AD229="Media",AF229="Leve"),AND(AD229="Media",AF229="Menor"),AND(AD229="Media",AF229="Moderado"),AND(AD229="Alta",AF229="Leve"),AND(AD229="Alta",AF229="Menor")),"Moderado",IF(OR(AND(AD229="Muy Baja",AF229="Mayor"),AND(AD229="Baja",AF229="Mayor"),AND(AD229="Media",AF229="Mayor"),AND(AD229="Alta",AF229="Moderado"),AND(AD229="Alta",AF229="Mayor"),AND(AD229="Muy Alta",AF229="Leve"),AND(AD229="Muy Alta",AF229="Menor"),AND(AD229="Muy Alta",AF229="Moderado"),AND(AD229="Muy Alta",AF229="Mayor")),"Alto",IF(OR(AND(AD229="Muy Baja",AF229="Catastrófico"),AND(AD229="Baja",AF229="Catastrófico"),AND(AD229="Media",AF229="Catastrófico"),AND(AD229="Alta",AF229="Catastrófico"),AND(AD229="Muy Alta",AF229="Catastrófico")),"Extremo","")))),"")</f>
        <v/>
      </c>
      <c r="AI229" s="161"/>
      <c r="AJ229" s="181"/>
      <c r="AK229" s="185"/>
      <c r="AL229" s="187"/>
      <c r="AM229" s="195"/>
      <c r="AN229" s="183"/>
      <c r="AO229" s="192"/>
      <c r="AP229" s="181"/>
    </row>
    <row r="230" spans="1:73" ht="15" customHeight="1" x14ac:dyDescent="0.2">
      <c r="A230" s="214"/>
      <c r="B230" s="241"/>
      <c r="C230" s="241"/>
      <c r="D230" s="183"/>
      <c r="E230" s="181"/>
      <c r="F230" s="181"/>
      <c r="G230" s="181"/>
      <c r="H230" s="181"/>
      <c r="I230" s="242"/>
      <c r="J230" s="217"/>
      <c r="K230" s="183"/>
      <c r="L230" s="185"/>
      <c r="M230" s="205"/>
      <c r="N230" s="206"/>
      <c r="O230" s="203"/>
      <c r="P230" s="239">
        <f>IF(NOT(ISERROR(MATCH(O230,_xlfn.ANCHORARRAY(#REF!),0))),N233&amp;"Por favor no seleccionar los criterios de impacto",O230)</f>
        <v>0</v>
      </c>
      <c r="Q230" s="205"/>
      <c r="R230" s="206"/>
      <c r="S230" s="207"/>
      <c r="T230" s="152">
        <v>6</v>
      </c>
      <c r="U230" s="160"/>
      <c r="V230" s="153" t="str">
        <f t="shared" si="437"/>
        <v/>
      </c>
      <c r="W230" s="154"/>
      <c r="X230" s="154"/>
      <c r="Y230" s="155" t="str">
        <f t="shared" si="432"/>
        <v/>
      </c>
      <c r="Z230" s="154"/>
      <c r="AA230" s="154"/>
      <c r="AB230" s="154"/>
      <c r="AC230" s="156" t="str">
        <f t="shared" si="438"/>
        <v/>
      </c>
      <c r="AD230" s="157" t="str">
        <f t="shared" si="433"/>
        <v/>
      </c>
      <c r="AE230" s="158" t="str">
        <f t="shared" si="434"/>
        <v/>
      </c>
      <c r="AF230" s="157" t="str">
        <f t="shared" si="435"/>
        <v/>
      </c>
      <c r="AG230" s="158" t="str">
        <f t="shared" si="439"/>
        <v/>
      </c>
      <c r="AH230" s="159" t="str">
        <f t="shared" si="440"/>
        <v/>
      </c>
      <c r="AI230" s="161"/>
      <c r="AJ230" s="181"/>
      <c r="AK230" s="185"/>
      <c r="AL230" s="187"/>
      <c r="AM230" s="195"/>
      <c r="AN230" s="183"/>
      <c r="AO230" s="192"/>
      <c r="AP230" s="181"/>
    </row>
    <row r="231" spans="1:73" ht="91.5" customHeight="1" x14ac:dyDescent="0.2">
      <c r="A231" s="214">
        <v>40</v>
      </c>
      <c r="B231" s="241" t="s">
        <v>247</v>
      </c>
      <c r="C231" s="241" t="s">
        <v>635</v>
      </c>
      <c r="D231" s="183" t="s">
        <v>268</v>
      </c>
      <c r="E231" s="181" t="s">
        <v>656</v>
      </c>
      <c r="F231" s="181" t="s">
        <v>657</v>
      </c>
      <c r="G231" s="181" t="s">
        <v>658</v>
      </c>
      <c r="H231" s="197" t="s">
        <v>659</v>
      </c>
      <c r="I231" s="289" t="s">
        <v>660</v>
      </c>
      <c r="J231" s="217" t="s">
        <v>230</v>
      </c>
      <c r="K231" s="183" t="s">
        <v>227</v>
      </c>
      <c r="L231" s="199">
        <v>5001</v>
      </c>
      <c r="M231" s="205" t="str">
        <f t="shared" ref="M231" si="441">IF(L231&lt;=0,"",IF(L231&lt;=2,"Muy Baja",IF(L231&lt;=24,"Baja",IF(L231&lt;=500,"Media",IF(L231&lt;=5000,"Alta","Muy Alta")))))</f>
        <v>Muy Alta</v>
      </c>
      <c r="N231" s="206">
        <f t="shared" ref="N231" si="442">IF(M231="","",IF(M231="Muy Baja",0.2,IF(M231="Baja",0.4,IF(M231="Media",0.6,IF(M231="Alta",0.8,IF(M231="Muy Alta",1,))))))</f>
        <v>1</v>
      </c>
      <c r="O231" s="203" t="s">
        <v>135</v>
      </c>
      <c r="P231" s="239" t="str">
        <f>IF(NOT(ISERROR(MATCH(O231,'Tabla Impacto'!$B$221:$B$223,0))),'Tabla Impacto'!$F$223&amp;"Por favor no seleccionar los criterios de impacto(Afectación Económica o presupuestal y Pérdida Reputacional)",O231)</f>
        <v xml:space="preserve">     El riesgo afecta la imagen de de la entidad con efecto publicitario sostenido a nivel de sector administrativo, nivel departamental o municipal</v>
      </c>
      <c r="Q231" s="205" t="str">
        <f>IF(OR(P231='Tabla Impacto'!$C$11,P231='Tabla Impacto'!$D$11),"Leve",IF(OR(P231='Tabla Impacto'!$C$12,P231='Tabla Impacto'!$D$12),"Menor",IF(OR(P231='Tabla Impacto'!$C$13,P231='Tabla Impacto'!$D$13),"Moderado",IF(OR(P231='Tabla Impacto'!$C$14,P231='Tabla Impacto'!$D$14),"Mayor",IF(OR(P231='Tabla Impacto'!$C$15,P231='Tabla Impacto'!$D$15),"Catastrófico","")))))</f>
        <v>Mayor</v>
      </c>
      <c r="R231" s="206">
        <f t="shared" ref="R231" si="443">IF(Q231="","",IF(Q231="Leve",0.2,IF(Q231="Menor",0.4,IF(Q231="Moderado",0.6,IF(Q231="Mayor",0.8,IF(Q231="Catastrófico",1,))))))</f>
        <v>0.8</v>
      </c>
      <c r="S231" s="207" t="str">
        <f t="shared" ref="S231" si="444">IF(OR(AND(M231="Muy Baja",Q231="Leve"),AND(M231="Muy Baja",Q231="Menor"),AND(M231="Baja",Q231="Leve")),"Bajo",IF(OR(AND(M231="Muy baja",Q231="Moderado"),AND(M231="Baja",Q231="Menor"),AND(M231="Baja",Q231="Moderado"),AND(M231="Media",Q231="Leve"),AND(M231="Media",Q231="Menor"),AND(M231="Media",Q231="Moderado"),AND(M231="Alta",Q231="Leve"),AND(M231="Alta",Q231="Menor")),"Moderado",IF(OR(AND(M231="Muy Baja",Q231="Mayor"),AND(M231="Baja",Q231="Mayor"),AND(M231="Media",Q231="Mayor"),AND(M231="Alta",Q231="Moderado"),AND(M231="Alta",Q231="Mayor"),AND(M231="Muy Alta",Q231="Leve"),AND(M231="Muy Alta",Q231="Menor"),AND(M231="Muy Alta",Q231="Moderado"),AND(M231="Muy Alta",Q231="Mayor")),"Alto",IF(OR(AND(M231="Muy Baja",Q231="Catastrófico"),AND(M231="Baja",Q231="Catastrófico"),AND(M231="Media",Q231="Catastrófico"),AND(M231="Alta",Q231="Catastrófico"),AND(M231="Muy Alta",Q231="Catastrófico")),"Extremo",""))))</f>
        <v>Alto</v>
      </c>
      <c r="T231" s="152">
        <v>1</v>
      </c>
      <c r="U231" s="141" t="s">
        <v>673</v>
      </c>
      <c r="V231" s="153" t="str">
        <f>IF(OR(W231="Preventivo",W231="Detectivo"),"Probabilidad",IF(W231="Correctivo","Impacto",""))</f>
        <v>Probabilidad</v>
      </c>
      <c r="W231" s="154" t="s">
        <v>13</v>
      </c>
      <c r="X231" s="154" t="s">
        <v>8</v>
      </c>
      <c r="Y231" s="155" t="str">
        <f>IF(AND(W231="Preventivo",X231="Automático"),"50%",IF(AND(W231="Preventivo",X231="Manual"),"40%",IF(AND(W231="Detectivo",X231="Automático"),"40%",IF(AND(W231="Detectivo",X231="Manual"),"30%",IF(AND(W231="Correctivo",X231="Automático"),"35%",IF(AND(W231="Correctivo",X231="Manual"),"25%",""))))))</f>
        <v>40%</v>
      </c>
      <c r="Z231" s="154" t="s">
        <v>18</v>
      </c>
      <c r="AA231" s="154" t="s">
        <v>21</v>
      </c>
      <c r="AB231" s="154" t="s">
        <v>112</v>
      </c>
      <c r="AC231" s="156">
        <f>IFERROR(IF(V231="Probabilidad",(N231-(+N231*Y231)),IF(V231="Impacto",N231,"")),"")</f>
        <v>0.6</v>
      </c>
      <c r="AD231" s="157" t="str">
        <f>IFERROR(IF(AC231="","",IF(AC231&lt;=0.2,"Muy Baja",IF(AC231&lt;=0.4,"Baja",IF(AC231&lt;=0.6,"Media",IF(AC231&lt;=0.8,"Alta","Muy Alta"))))),"")</f>
        <v>Media</v>
      </c>
      <c r="AE231" s="158">
        <f>+AC231</f>
        <v>0.6</v>
      </c>
      <c r="AF231" s="157" t="str">
        <f>IFERROR(IF(AG231="","",IF(AG231&lt;=0.2,"Leve",IF(AG231&lt;=0.4,"Menor",IF(AG231&lt;=0.6,"Moderado",IF(AG231&lt;=0.8,"Mayor","Catastrófico"))))),"")</f>
        <v>Mayor</v>
      </c>
      <c r="AG231" s="158">
        <f>IFERROR(IF(V231="Impacto",(R231-(+R231*Y231)),IF(V231="Probabilidad",R231,"")),"")</f>
        <v>0.8</v>
      </c>
      <c r="AH231" s="159" t="str">
        <f>IFERROR(IF(OR(AND(AD231="Muy Baja",AF231="Leve"),AND(AD231="Muy Baja",AF231="Menor"),AND(AD231="Baja",AF231="Leve")),"Bajo",IF(OR(AND(AD231="Muy baja",AF231="Moderado"),AND(AD231="Baja",AF231="Menor"),AND(AD231="Baja",AF231="Moderado"),AND(AD231="Media",AF231="Leve"),AND(AD231="Media",AF231="Menor"),AND(AD231="Media",AF231="Moderado"),AND(AD231="Alta",AF231="Leve"),AND(AD231="Alta",AF231="Menor")),"Moderado",IF(OR(AND(AD231="Muy Baja",AF231="Mayor"),AND(AD231="Baja",AF231="Mayor"),AND(AD231="Media",AF231="Mayor"),AND(AD231="Alta",AF231="Moderado"),AND(AD231="Alta",AF231="Mayor"),AND(AD231="Muy Alta",AF231="Leve"),AND(AD231="Muy Alta",AF231="Menor"),AND(AD231="Muy Alta",AF231="Moderado"),AND(AD231="Muy Alta",AF231="Mayor")),"Alto",IF(OR(AND(AD231="Muy Baja",AF231="Catastrófico"),AND(AD231="Baja",AF231="Catastrófico"),AND(AD231="Media",AF231="Catastrófico"),AND(AD231="Alta",AF231="Catastrófico"),AND(AD231="Muy Alta",AF231="Catastrófico")),"Extremo","")))),"")</f>
        <v>Alto</v>
      </c>
      <c r="AI231" s="161"/>
      <c r="AJ231" s="181" t="s">
        <v>688</v>
      </c>
      <c r="AK231" s="185" t="s">
        <v>207</v>
      </c>
      <c r="AL231" s="187">
        <v>45293</v>
      </c>
      <c r="AM231" s="195">
        <v>45657</v>
      </c>
      <c r="AN231" s="183" t="s">
        <v>284</v>
      </c>
      <c r="AO231" s="192" t="s">
        <v>269</v>
      </c>
      <c r="AP231" s="255" t="s">
        <v>689</v>
      </c>
      <c r="AQ231" s="10"/>
      <c r="AR231" s="10"/>
      <c r="AS231" s="10"/>
      <c r="AT231" s="10"/>
      <c r="AU231" s="10"/>
      <c r="AV231" s="10"/>
      <c r="AW231" s="10"/>
      <c r="AX231" s="10"/>
      <c r="AY231" s="10"/>
      <c r="AZ231" s="10"/>
      <c r="BA231" s="10"/>
      <c r="BB231" s="10"/>
      <c r="BC231" s="10"/>
      <c r="BD231" s="10"/>
      <c r="BE231" s="10"/>
      <c r="BF231" s="10"/>
      <c r="BG231" s="10"/>
      <c r="BH231" s="10"/>
      <c r="BI231" s="10"/>
      <c r="BJ231" s="10"/>
      <c r="BK231" s="10"/>
      <c r="BL231" s="10"/>
      <c r="BM231" s="10"/>
      <c r="BN231" s="10"/>
      <c r="BO231" s="10"/>
      <c r="BP231" s="10"/>
      <c r="BQ231" s="10"/>
      <c r="BR231" s="10"/>
      <c r="BS231" s="10"/>
      <c r="BT231" s="10"/>
      <c r="BU231" s="10"/>
    </row>
    <row r="232" spans="1:73" ht="185.25" x14ac:dyDescent="0.2">
      <c r="A232" s="214"/>
      <c r="B232" s="241"/>
      <c r="C232" s="241"/>
      <c r="D232" s="183"/>
      <c r="E232" s="181"/>
      <c r="F232" s="181"/>
      <c r="G232" s="181"/>
      <c r="H232" s="197"/>
      <c r="I232" s="289"/>
      <c r="J232" s="217"/>
      <c r="K232" s="183"/>
      <c r="L232" s="200"/>
      <c r="M232" s="205"/>
      <c r="N232" s="206"/>
      <c r="O232" s="203"/>
      <c r="P232" s="239">
        <f>IF(NOT(ISERROR(MATCH(O232,_xlfn.ANCHORARRAY(#REF!),0))),#REF!&amp;"Por favor no seleccionar los criterios de impacto",O232)</f>
        <v>0</v>
      </c>
      <c r="Q232" s="205"/>
      <c r="R232" s="206"/>
      <c r="S232" s="207"/>
      <c r="T232" s="152">
        <v>2</v>
      </c>
      <c r="U232" s="141" t="s">
        <v>678</v>
      </c>
      <c r="V232" s="153" t="str">
        <f>IF(OR(W232="Preventivo",W232="Detectivo"),"Probabilidad",IF(W232="Correctivo","Impacto",""))</f>
        <v>Probabilidad</v>
      </c>
      <c r="W232" s="154" t="s">
        <v>14</v>
      </c>
      <c r="X232" s="154" t="s">
        <v>8</v>
      </c>
      <c r="Y232" s="155" t="str">
        <f t="shared" ref="Y232:Y236" si="445">IF(AND(W232="Preventivo",X232="Automático"),"50%",IF(AND(W232="Preventivo",X232="Manual"),"40%",IF(AND(W232="Detectivo",X232="Automático"),"40%",IF(AND(W232="Detectivo",X232="Manual"),"30%",IF(AND(W232="Correctivo",X232="Automático"),"35%",IF(AND(W232="Correctivo",X232="Manual"),"25%",""))))))</f>
        <v>30%</v>
      </c>
      <c r="Z232" s="154" t="s">
        <v>18</v>
      </c>
      <c r="AA232" s="154" t="s">
        <v>21</v>
      </c>
      <c r="AB232" s="154" t="s">
        <v>112</v>
      </c>
      <c r="AC232" s="156">
        <f>IFERROR(IF(AND(V231="Probabilidad",V232="Probabilidad"),(AE231-(+AE231*Y232)),IF(V232="Probabilidad",(N231-(+N231*Y232)),IF(V232="Impacto",AE231,""))),"")</f>
        <v>0.42</v>
      </c>
      <c r="AD232" s="157" t="str">
        <f t="shared" ref="AD232:AD236" si="446">IFERROR(IF(AC232="","",IF(AC232&lt;=0.2,"Muy Baja",IF(AC232&lt;=0.4,"Baja",IF(AC232&lt;=0.6,"Media",IF(AC232&lt;=0.8,"Alta","Muy Alta"))))),"")</f>
        <v>Media</v>
      </c>
      <c r="AE232" s="158">
        <f t="shared" ref="AE232:AE236" si="447">+AC232</f>
        <v>0.42</v>
      </c>
      <c r="AF232" s="157" t="str">
        <f t="shared" ref="AF232:AF236" si="448">IFERROR(IF(AG232="","",IF(AG232&lt;=0.2,"Leve",IF(AG232&lt;=0.4,"Menor",IF(AG232&lt;=0.6,"Moderado",IF(AG232&lt;=0.8,"Mayor","Catastrófico"))))),"")</f>
        <v>Mayor</v>
      </c>
      <c r="AG232" s="158">
        <f>IFERROR(IF(AND(V231="Impacto",V232="Impacto"),(AG231-(+AG231*Y232)),IF(V232="Impacto",(R231-(+R231*Y232)),IF(V232="Probabilidad",AG231,""))),"")</f>
        <v>0.8</v>
      </c>
      <c r="AH232" s="159" t="str">
        <f t="shared" ref="AH232:AH233" si="449">IFERROR(IF(OR(AND(AD232="Muy Baja",AF232="Leve"),AND(AD232="Muy Baja",AF232="Menor"),AND(AD232="Baja",AF232="Leve")),"Bajo",IF(OR(AND(AD232="Muy baja",AF232="Moderado"),AND(AD232="Baja",AF232="Menor"),AND(AD232="Baja",AF232="Moderado"),AND(AD232="Media",AF232="Leve"),AND(AD232="Media",AF232="Menor"),AND(AD232="Media",AF232="Moderado"),AND(AD232="Alta",AF232="Leve"),AND(AD232="Alta",AF232="Menor")),"Moderado",IF(OR(AND(AD232="Muy Baja",AF232="Mayor"),AND(AD232="Baja",AF232="Mayor"),AND(AD232="Media",AF232="Mayor"),AND(AD232="Alta",AF232="Moderado"),AND(AD232="Alta",AF232="Mayor"),AND(AD232="Muy Alta",AF232="Leve"),AND(AD232="Muy Alta",AF232="Menor"),AND(AD232="Muy Alta",AF232="Moderado"),AND(AD232="Muy Alta",AF232="Mayor")),"Alto",IF(OR(AND(AD232="Muy Baja",AF232="Catastrófico"),AND(AD232="Baja",AF232="Catastrófico"),AND(AD232="Media",AF232="Catastrófico"),AND(AD232="Alta",AF232="Catastrófico"),AND(AD232="Muy Alta",AF232="Catastrófico")),"Extremo","")))),"")</f>
        <v>Alto</v>
      </c>
      <c r="AI232" s="161"/>
      <c r="AJ232" s="181"/>
      <c r="AK232" s="185"/>
      <c r="AL232" s="187"/>
      <c r="AM232" s="195"/>
      <c r="AN232" s="183"/>
      <c r="AO232" s="192"/>
      <c r="AP232" s="256"/>
    </row>
    <row r="233" spans="1:73" ht="75" x14ac:dyDescent="0.2">
      <c r="A233" s="214"/>
      <c r="B233" s="241"/>
      <c r="C233" s="241"/>
      <c r="D233" s="183"/>
      <c r="E233" s="181"/>
      <c r="F233" s="181"/>
      <c r="G233" s="181"/>
      <c r="H233" s="197"/>
      <c r="I233" s="289"/>
      <c r="J233" s="217"/>
      <c r="K233" s="183"/>
      <c r="L233" s="200"/>
      <c r="M233" s="205"/>
      <c r="N233" s="206"/>
      <c r="O233" s="203"/>
      <c r="P233" s="239">
        <f>IF(NOT(ISERROR(MATCH(O233,_xlfn.ANCHORARRAY(#REF!),0))),#REF!&amp;"Por favor no seleccionar los criterios de impacto",O233)</f>
        <v>0</v>
      </c>
      <c r="Q233" s="205"/>
      <c r="R233" s="206"/>
      <c r="S233" s="207"/>
      <c r="T233" s="152">
        <v>3</v>
      </c>
      <c r="U233" s="141" t="s">
        <v>674</v>
      </c>
      <c r="V233" s="153" t="str">
        <f>IF(OR(W233="Preventivo",W233="Detectivo"),"Probabilidad",IF(W233="Correctivo","Impacto",""))</f>
        <v>Impacto</v>
      </c>
      <c r="W233" s="154" t="s">
        <v>15</v>
      </c>
      <c r="X233" s="154" t="s">
        <v>8</v>
      </c>
      <c r="Y233" s="155" t="str">
        <f t="shared" si="445"/>
        <v>25%</v>
      </c>
      <c r="Z233" s="154" t="s">
        <v>18</v>
      </c>
      <c r="AA233" s="154" t="s">
        <v>21</v>
      </c>
      <c r="AB233" s="154" t="s">
        <v>112</v>
      </c>
      <c r="AC233" s="156">
        <f>IFERROR(IF(AND(V232="Probabilidad",V233="Probabilidad"),(AE232-(+AE232*Y233)),IF(AND(V232="Impacto",V233="Probabilidad"),(AE231-(+AE231*Y233)),IF(V233="Impacto",AE232,""))),"")</f>
        <v>0.42</v>
      </c>
      <c r="AD233" s="157" t="str">
        <f t="shared" si="446"/>
        <v>Media</v>
      </c>
      <c r="AE233" s="158">
        <f t="shared" si="447"/>
        <v>0.42</v>
      </c>
      <c r="AF233" s="157" t="str">
        <f t="shared" si="448"/>
        <v>Moderado</v>
      </c>
      <c r="AG233" s="158">
        <f>IFERROR(IF(AND(V232="Impacto",V233="Impacto"),(AG232-(+AG232*Y233)),IF(AND(V232="Probabilidad",V233="Impacto"),(AG231-(+AG231*Y233)),IF(V233="Probabilidad",AG232,""))),"")</f>
        <v>0.60000000000000009</v>
      </c>
      <c r="AH233" s="159" t="str">
        <f t="shared" si="449"/>
        <v>Moderado</v>
      </c>
      <c r="AI233" s="161"/>
      <c r="AJ233" s="181"/>
      <c r="AK233" s="185"/>
      <c r="AL233" s="187"/>
      <c r="AM233" s="195"/>
      <c r="AN233" s="183"/>
      <c r="AO233" s="192"/>
      <c r="AP233" s="256"/>
    </row>
    <row r="234" spans="1:73" ht="15" customHeight="1" x14ac:dyDescent="0.2">
      <c r="A234" s="214"/>
      <c r="B234" s="241"/>
      <c r="C234" s="241"/>
      <c r="D234" s="183"/>
      <c r="E234" s="181"/>
      <c r="F234" s="181"/>
      <c r="G234" s="181"/>
      <c r="H234" s="197"/>
      <c r="I234" s="289"/>
      <c r="J234" s="217"/>
      <c r="K234" s="183"/>
      <c r="L234" s="200"/>
      <c r="M234" s="205"/>
      <c r="N234" s="206"/>
      <c r="O234" s="203"/>
      <c r="P234" s="239">
        <f>IF(NOT(ISERROR(MATCH(O234,_xlfn.ANCHORARRAY(#REF!),0))),#REF!&amp;"Por favor no seleccionar los criterios de impacto",O234)</f>
        <v>0</v>
      </c>
      <c r="Q234" s="205"/>
      <c r="R234" s="206"/>
      <c r="S234" s="207"/>
      <c r="T234" s="152">
        <v>4</v>
      </c>
      <c r="U234" s="160"/>
      <c r="V234" s="153" t="str">
        <f t="shared" ref="V234:V236" si="450">IF(OR(W234="Preventivo",W234="Detectivo"),"Probabilidad",IF(W234="Correctivo","Impacto",""))</f>
        <v/>
      </c>
      <c r="W234" s="154"/>
      <c r="X234" s="154"/>
      <c r="Y234" s="155" t="str">
        <f t="shared" si="445"/>
        <v/>
      </c>
      <c r="Z234" s="154"/>
      <c r="AA234" s="154"/>
      <c r="AB234" s="154"/>
      <c r="AC234" s="156" t="str">
        <f t="shared" ref="AC234:AC236" si="451">IFERROR(IF(AND(V233="Probabilidad",V234="Probabilidad"),(AE233-(+AE233*Y234)),IF(AND(V233="Impacto",V234="Probabilidad"),(AE232-(+AE232*Y234)),IF(V234="Impacto",AE233,""))),"")</f>
        <v/>
      </c>
      <c r="AD234" s="157" t="str">
        <f t="shared" si="446"/>
        <v/>
      </c>
      <c r="AE234" s="158" t="str">
        <f t="shared" si="447"/>
        <v/>
      </c>
      <c r="AF234" s="157" t="str">
        <f t="shared" si="448"/>
        <v/>
      </c>
      <c r="AG234" s="158" t="str">
        <f t="shared" ref="AG234:AG236" si="452">IFERROR(IF(AND(V233="Impacto",V234="Impacto"),(AG233-(+AG233*Y234)),IF(AND(V233="Probabilidad",V234="Impacto"),(AG232-(+AG232*Y234)),IF(V234="Probabilidad",AG233,""))),"")</f>
        <v/>
      </c>
      <c r="AH234" s="159" t="str">
        <f>IFERROR(IF(OR(AND(AD234="Muy Baja",AF234="Leve"),AND(AD234="Muy Baja",AF234="Menor"),AND(AD234="Baja",AF234="Leve")),"Bajo",IF(OR(AND(AD234="Muy baja",AF234="Moderado"),AND(AD234="Baja",AF234="Menor"),AND(AD234="Baja",AF234="Moderado"),AND(AD234="Media",AF234="Leve"),AND(AD234="Media",AF234="Menor"),AND(AD234="Media",AF234="Moderado"),AND(AD234="Alta",AF234="Leve"),AND(AD234="Alta",AF234="Menor")),"Moderado",IF(OR(AND(AD234="Muy Baja",AF234="Mayor"),AND(AD234="Baja",AF234="Mayor"),AND(AD234="Media",AF234="Mayor"),AND(AD234="Alta",AF234="Moderado"),AND(AD234="Alta",AF234="Mayor"),AND(AD234="Muy Alta",AF234="Leve"),AND(AD234="Muy Alta",AF234="Menor"),AND(AD234="Muy Alta",AF234="Moderado"),AND(AD234="Muy Alta",AF234="Mayor")),"Alto",IF(OR(AND(AD234="Muy Baja",AF234="Catastrófico"),AND(AD234="Baja",AF234="Catastrófico"),AND(AD234="Media",AF234="Catastrófico"),AND(AD234="Alta",AF234="Catastrófico"),AND(AD234="Muy Alta",AF234="Catastrófico")),"Extremo","")))),"")</f>
        <v/>
      </c>
      <c r="AI234" s="161"/>
      <c r="AJ234" s="181"/>
      <c r="AK234" s="185"/>
      <c r="AL234" s="187"/>
      <c r="AM234" s="195"/>
      <c r="AN234" s="183"/>
      <c r="AO234" s="192"/>
      <c r="AP234" s="256"/>
    </row>
    <row r="235" spans="1:73" ht="15" customHeight="1" x14ac:dyDescent="0.2">
      <c r="A235" s="214"/>
      <c r="B235" s="241"/>
      <c r="C235" s="241"/>
      <c r="D235" s="183"/>
      <c r="E235" s="181"/>
      <c r="F235" s="181"/>
      <c r="G235" s="181"/>
      <c r="H235" s="197"/>
      <c r="I235" s="289"/>
      <c r="J235" s="217"/>
      <c r="K235" s="183"/>
      <c r="L235" s="200"/>
      <c r="M235" s="205"/>
      <c r="N235" s="206"/>
      <c r="O235" s="203"/>
      <c r="P235" s="239">
        <f>IF(NOT(ISERROR(MATCH(O235,_xlfn.ANCHORARRAY(#REF!),0))),N238&amp;"Por favor no seleccionar los criterios de impacto",O235)</f>
        <v>0</v>
      </c>
      <c r="Q235" s="205"/>
      <c r="R235" s="206"/>
      <c r="S235" s="207"/>
      <c r="T235" s="152">
        <v>5</v>
      </c>
      <c r="U235" s="160"/>
      <c r="V235" s="153" t="str">
        <f t="shared" si="450"/>
        <v/>
      </c>
      <c r="W235" s="154"/>
      <c r="X235" s="154"/>
      <c r="Y235" s="155" t="str">
        <f t="shared" si="445"/>
        <v/>
      </c>
      <c r="Z235" s="154"/>
      <c r="AA235" s="154"/>
      <c r="AB235" s="154"/>
      <c r="AC235" s="156" t="str">
        <f t="shared" si="451"/>
        <v/>
      </c>
      <c r="AD235" s="157" t="str">
        <f t="shared" si="446"/>
        <v/>
      </c>
      <c r="AE235" s="158" t="str">
        <f t="shared" si="447"/>
        <v/>
      </c>
      <c r="AF235" s="157" t="str">
        <f t="shared" si="448"/>
        <v/>
      </c>
      <c r="AG235" s="158" t="str">
        <f t="shared" si="452"/>
        <v/>
      </c>
      <c r="AH235" s="159" t="str">
        <f t="shared" ref="AH235:AH236" si="453">IFERROR(IF(OR(AND(AD235="Muy Baja",AF235="Leve"),AND(AD235="Muy Baja",AF235="Menor"),AND(AD235="Baja",AF235="Leve")),"Bajo",IF(OR(AND(AD235="Muy baja",AF235="Moderado"),AND(AD235="Baja",AF235="Menor"),AND(AD235="Baja",AF235="Moderado"),AND(AD235="Media",AF235="Leve"),AND(AD235="Media",AF235="Menor"),AND(AD235="Media",AF235="Moderado"),AND(AD235="Alta",AF235="Leve"),AND(AD235="Alta",AF235="Menor")),"Moderado",IF(OR(AND(AD235="Muy Baja",AF235="Mayor"),AND(AD235="Baja",AF235="Mayor"),AND(AD235="Media",AF235="Mayor"),AND(AD235="Alta",AF235="Moderado"),AND(AD235="Alta",AF235="Mayor"),AND(AD235="Muy Alta",AF235="Leve"),AND(AD235="Muy Alta",AF235="Menor"),AND(AD235="Muy Alta",AF235="Moderado"),AND(AD235="Muy Alta",AF235="Mayor")),"Alto",IF(OR(AND(AD235="Muy Baja",AF235="Catastrófico"),AND(AD235="Baja",AF235="Catastrófico"),AND(AD235="Media",AF235="Catastrófico"),AND(AD235="Alta",AF235="Catastrófico"),AND(AD235="Muy Alta",AF235="Catastrófico")),"Extremo","")))),"")</f>
        <v/>
      </c>
      <c r="AI235" s="161"/>
      <c r="AJ235" s="181"/>
      <c r="AK235" s="185"/>
      <c r="AL235" s="187"/>
      <c r="AM235" s="195"/>
      <c r="AN235" s="183"/>
      <c r="AO235" s="192"/>
      <c r="AP235" s="256"/>
    </row>
    <row r="236" spans="1:73" ht="15" customHeight="1" x14ac:dyDescent="0.2">
      <c r="A236" s="214"/>
      <c r="B236" s="241"/>
      <c r="C236" s="241"/>
      <c r="D236" s="183"/>
      <c r="E236" s="181"/>
      <c r="F236" s="181"/>
      <c r="G236" s="181"/>
      <c r="H236" s="197"/>
      <c r="I236" s="289"/>
      <c r="J236" s="217"/>
      <c r="K236" s="183"/>
      <c r="L236" s="186"/>
      <c r="M236" s="205"/>
      <c r="N236" s="206"/>
      <c r="O236" s="203"/>
      <c r="P236" s="239">
        <f>IF(NOT(ISERROR(MATCH(O236,_xlfn.ANCHORARRAY(#REF!),0))),N239&amp;"Por favor no seleccionar los criterios de impacto",O236)</f>
        <v>0</v>
      </c>
      <c r="Q236" s="205"/>
      <c r="R236" s="206"/>
      <c r="S236" s="207"/>
      <c r="T236" s="152">
        <v>6</v>
      </c>
      <c r="U236" s="160"/>
      <c r="V236" s="153" t="str">
        <f t="shared" si="450"/>
        <v/>
      </c>
      <c r="W236" s="154"/>
      <c r="X236" s="154"/>
      <c r="Y236" s="155" t="str">
        <f t="shared" si="445"/>
        <v/>
      </c>
      <c r="Z236" s="154"/>
      <c r="AA236" s="154"/>
      <c r="AB236" s="154"/>
      <c r="AC236" s="156" t="str">
        <f t="shared" si="451"/>
        <v/>
      </c>
      <c r="AD236" s="157" t="str">
        <f t="shared" si="446"/>
        <v/>
      </c>
      <c r="AE236" s="158" t="str">
        <f t="shared" si="447"/>
        <v/>
      </c>
      <c r="AF236" s="157" t="str">
        <f t="shared" si="448"/>
        <v/>
      </c>
      <c r="AG236" s="158" t="str">
        <f t="shared" si="452"/>
        <v/>
      </c>
      <c r="AH236" s="159" t="str">
        <f t="shared" si="453"/>
        <v/>
      </c>
      <c r="AI236" s="161"/>
      <c r="AJ236" s="181"/>
      <c r="AK236" s="185"/>
      <c r="AL236" s="187"/>
      <c r="AM236" s="195"/>
      <c r="AN236" s="183"/>
      <c r="AO236" s="192"/>
      <c r="AP236" s="256"/>
    </row>
    <row r="237" spans="1:73" ht="99.75" x14ac:dyDescent="0.2">
      <c r="A237" s="214">
        <v>41</v>
      </c>
      <c r="B237" s="241" t="s">
        <v>247</v>
      </c>
      <c r="C237" s="241" t="s">
        <v>635</v>
      </c>
      <c r="D237" s="183" t="s">
        <v>266</v>
      </c>
      <c r="E237" s="181" t="s">
        <v>661</v>
      </c>
      <c r="F237" s="181" t="s">
        <v>662</v>
      </c>
      <c r="G237" s="289" t="s">
        <v>663</v>
      </c>
      <c r="H237" s="289" t="s">
        <v>664</v>
      </c>
      <c r="I237" s="289" t="s">
        <v>665</v>
      </c>
      <c r="J237" s="217" t="s">
        <v>230</v>
      </c>
      <c r="K237" s="183" t="s">
        <v>227</v>
      </c>
      <c r="L237" s="185">
        <v>5000</v>
      </c>
      <c r="M237" s="205" t="str">
        <f t="shared" ref="M237" si="454">IF(L237&lt;=0,"",IF(L237&lt;=2,"Muy Baja",IF(L237&lt;=24,"Baja",IF(L237&lt;=500,"Media",IF(L237&lt;=5000,"Alta","Muy Alta")))))</f>
        <v>Alta</v>
      </c>
      <c r="N237" s="206">
        <f t="shared" ref="N237" si="455">IF(M237="","",IF(M237="Muy Baja",0.2,IF(M237="Baja",0.4,IF(M237="Media",0.6,IF(M237="Alta",0.8,IF(M237="Muy Alta",1,))))))</f>
        <v>0.8</v>
      </c>
      <c r="O237" s="203" t="s">
        <v>135</v>
      </c>
      <c r="P237" s="239" t="str">
        <f>IF(NOT(ISERROR(MATCH(O237,'Tabla Impacto'!$B$221:$B$223,0))),'Tabla Impacto'!$F$223&amp;"Por favor no seleccionar los criterios de impacto(Afectación Económica o presupuestal y Pérdida Reputacional)",O237)</f>
        <v xml:space="preserve">     El riesgo afecta la imagen de de la entidad con efecto publicitario sostenido a nivel de sector administrativo, nivel departamental o municipal</v>
      </c>
      <c r="Q237" s="205" t="str">
        <f>IF(OR(P237='Tabla Impacto'!$C$11,P237='Tabla Impacto'!$D$11),"Leve",IF(OR(P237='Tabla Impacto'!$C$12,P237='Tabla Impacto'!$D$12),"Menor",IF(OR(P237='Tabla Impacto'!$C$13,P237='Tabla Impacto'!$D$13),"Moderado",IF(OR(P237='Tabla Impacto'!$C$14,P237='Tabla Impacto'!$D$14),"Mayor",IF(OR(P237='Tabla Impacto'!$C$15,P237='Tabla Impacto'!$D$15),"Catastrófico","")))))</f>
        <v>Mayor</v>
      </c>
      <c r="R237" s="206">
        <f t="shared" ref="R237" si="456">IF(Q237="","",IF(Q237="Leve",0.2,IF(Q237="Menor",0.4,IF(Q237="Moderado",0.6,IF(Q237="Mayor",0.8,IF(Q237="Catastrófico",1,))))))</f>
        <v>0.8</v>
      </c>
      <c r="S237" s="207" t="str">
        <f t="shared" ref="S237" si="457">IF(OR(AND(M237="Muy Baja",Q237="Leve"),AND(M237="Muy Baja",Q237="Menor"),AND(M237="Baja",Q237="Leve")),"Bajo",IF(OR(AND(M237="Muy baja",Q237="Moderado"),AND(M237="Baja",Q237="Menor"),AND(M237="Baja",Q237="Moderado"),AND(M237="Media",Q237="Leve"),AND(M237="Media",Q237="Menor"),AND(M237="Media",Q237="Moderado"),AND(M237="Alta",Q237="Leve"),AND(M237="Alta",Q237="Menor")),"Moderado",IF(OR(AND(M237="Muy Baja",Q237="Mayor"),AND(M237="Baja",Q237="Mayor"),AND(M237="Media",Q237="Mayor"),AND(M237="Alta",Q237="Moderado"),AND(M237="Alta",Q237="Mayor"),AND(M237="Muy Alta",Q237="Leve"),AND(M237="Muy Alta",Q237="Menor"),AND(M237="Muy Alta",Q237="Moderado"),AND(M237="Muy Alta",Q237="Mayor")),"Alto",IF(OR(AND(M237="Muy Baja",Q237="Catastrófico"),AND(M237="Baja",Q237="Catastrófico"),AND(M237="Media",Q237="Catastrófico"),AND(M237="Alta",Q237="Catastrófico"),AND(M237="Muy Alta",Q237="Catastrófico")),"Extremo",""))))</f>
        <v>Alto</v>
      </c>
      <c r="T237" s="152">
        <v>1</v>
      </c>
      <c r="U237" s="141" t="s">
        <v>679</v>
      </c>
      <c r="V237" s="153" t="str">
        <f>IF(OR(W237="Preventivo",W237="Detectivo"),"Probabilidad",IF(W237="Correctivo","Impacto",""))</f>
        <v>Probabilidad</v>
      </c>
      <c r="W237" s="154" t="s">
        <v>13</v>
      </c>
      <c r="X237" s="154" t="s">
        <v>8</v>
      </c>
      <c r="Y237" s="155" t="str">
        <f>IF(AND(W237="Preventivo",X237="Automático"),"50%",IF(AND(W237="Preventivo",X237="Manual"),"40%",IF(AND(W237="Detectivo",X237="Automático"),"40%",IF(AND(W237="Detectivo",X237="Manual"),"30%",IF(AND(W237="Correctivo",X237="Automático"),"35%",IF(AND(W237="Correctivo",X237="Manual"),"25%",""))))))</f>
        <v>40%</v>
      </c>
      <c r="Z237" s="154" t="s">
        <v>18</v>
      </c>
      <c r="AA237" s="154" t="s">
        <v>21</v>
      </c>
      <c r="AB237" s="154" t="s">
        <v>113</v>
      </c>
      <c r="AC237" s="156">
        <f>IFERROR(IF(V237="Probabilidad",(N237-(+N237*Y237)),IF(V237="Impacto",N237,"")),"")</f>
        <v>0.48</v>
      </c>
      <c r="AD237" s="157" t="str">
        <f>IFERROR(IF(AC237="","",IF(AC237&lt;=0.2,"Muy Baja",IF(AC237&lt;=0.4,"Baja",IF(AC237&lt;=0.6,"Media",IF(AC237&lt;=0.8,"Alta","Muy Alta"))))),"")</f>
        <v>Media</v>
      </c>
      <c r="AE237" s="158">
        <f>+AC237</f>
        <v>0.48</v>
      </c>
      <c r="AF237" s="157" t="str">
        <f>IFERROR(IF(AG237="","",IF(AG237&lt;=0.2,"Leve",IF(AG237&lt;=0.4,"Menor",IF(AG237&lt;=0.6,"Moderado",IF(AG237&lt;=0.8,"Mayor","Catastrófico"))))),"")</f>
        <v>Mayor</v>
      </c>
      <c r="AG237" s="158">
        <f>IFERROR(IF(V237="Impacto",(R237-(+R237*Y237)),IF(V237="Probabilidad",R237,"")),"")</f>
        <v>0.8</v>
      </c>
      <c r="AH237" s="159" t="str">
        <f>IFERROR(IF(OR(AND(AD237="Muy Baja",AF237="Leve"),AND(AD237="Muy Baja",AF237="Menor"),AND(AD237="Baja",AF237="Leve")),"Bajo",IF(OR(AND(AD237="Muy baja",AF237="Moderado"),AND(AD237="Baja",AF237="Menor"),AND(AD237="Baja",AF237="Moderado"),AND(AD237="Media",AF237="Leve"),AND(AD237="Media",AF237="Menor"),AND(AD237="Media",AF237="Moderado"),AND(AD237="Alta",AF237="Leve"),AND(AD237="Alta",AF237="Menor")),"Moderado",IF(OR(AND(AD237="Muy Baja",AF237="Mayor"),AND(AD237="Baja",AF237="Mayor"),AND(AD237="Media",AF237="Mayor"),AND(AD237="Alta",AF237="Moderado"),AND(AD237="Alta",AF237="Mayor"),AND(AD237="Muy Alta",AF237="Leve"),AND(AD237="Muy Alta",AF237="Menor"),AND(AD237="Muy Alta",AF237="Moderado"),AND(AD237="Muy Alta",AF237="Mayor")),"Alto",IF(OR(AND(AD237="Muy Baja",AF237="Catastrófico"),AND(AD237="Baja",AF237="Catastrófico"),AND(AD237="Media",AF237="Catastrófico"),AND(AD237="Alta",AF237="Catastrófico"),AND(AD237="Muy Alta",AF237="Catastrófico")),"Extremo","")))),"")</f>
        <v>Alto</v>
      </c>
      <c r="AI237" s="161" t="s">
        <v>117</v>
      </c>
      <c r="AJ237" s="181" t="s">
        <v>690</v>
      </c>
      <c r="AK237" s="185" t="s">
        <v>207</v>
      </c>
      <c r="AL237" s="187">
        <v>45293</v>
      </c>
      <c r="AM237" s="195">
        <v>45657</v>
      </c>
      <c r="AN237" s="183" t="s">
        <v>284</v>
      </c>
      <c r="AO237" s="192" t="s">
        <v>269</v>
      </c>
      <c r="AP237" s="181" t="s">
        <v>691</v>
      </c>
      <c r="AQ237" s="10"/>
      <c r="AR237" s="10"/>
      <c r="AS237" s="10"/>
      <c r="AT237" s="10"/>
      <c r="AU237" s="10"/>
      <c r="AV237" s="10"/>
      <c r="AW237" s="10"/>
      <c r="AX237" s="10"/>
      <c r="AY237" s="10"/>
      <c r="AZ237" s="10"/>
      <c r="BA237" s="10"/>
      <c r="BB237" s="10"/>
      <c r="BC237" s="10"/>
      <c r="BD237" s="10"/>
      <c r="BE237" s="10"/>
      <c r="BF237" s="10"/>
      <c r="BG237" s="10"/>
      <c r="BH237" s="10"/>
      <c r="BI237" s="10"/>
      <c r="BJ237" s="10"/>
      <c r="BK237" s="10"/>
      <c r="BL237" s="10"/>
      <c r="BM237" s="10"/>
      <c r="BN237" s="10"/>
      <c r="BO237" s="10"/>
      <c r="BP237" s="10"/>
      <c r="BQ237" s="10"/>
      <c r="BR237" s="10"/>
      <c r="BS237" s="10"/>
      <c r="BT237" s="10"/>
      <c r="BU237" s="10"/>
    </row>
    <row r="238" spans="1:73" ht="88.5" x14ac:dyDescent="0.2">
      <c r="A238" s="214"/>
      <c r="B238" s="241"/>
      <c r="C238" s="241"/>
      <c r="D238" s="183"/>
      <c r="E238" s="181"/>
      <c r="F238" s="181"/>
      <c r="G238" s="289"/>
      <c r="H238" s="289"/>
      <c r="I238" s="289"/>
      <c r="J238" s="217"/>
      <c r="K238" s="183"/>
      <c r="L238" s="185"/>
      <c r="M238" s="205"/>
      <c r="N238" s="206"/>
      <c r="O238" s="203"/>
      <c r="P238" s="239">
        <f>IF(NOT(ISERROR(MATCH(O238,_xlfn.ANCHORARRAY(#REF!),0))),#REF!&amp;"Por favor no seleccionar los criterios de impacto",O238)</f>
        <v>0</v>
      </c>
      <c r="Q238" s="205"/>
      <c r="R238" s="206"/>
      <c r="S238" s="207"/>
      <c r="T238" s="152">
        <v>2</v>
      </c>
      <c r="U238" s="141" t="s">
        <v>680</v>
      </c>
      <c r="V238" s="153" t="str">
        <f>IF(OR(W238="Preventivo",W238="Detectivo"),"Probabilidad",IF(W238="Correctivo","Impacto",""))</f>
        <v>Probabilidad</v>
      </c>
      <c r="W238" s="154" t="s">
        <v>13</v>
      </c>
      <c r="X238" s="154" t="s">
        <v>8</v>
      </c>
      <c r="Y238" s="155" t="str">
        <f t="shared" ref="Y238:Y242" si="458">IF(AND(W238="Preventivo",X238="Automático"),"50%",IF(AND(W238="Preventivo",X238="Manual"),"40%",IF(AND(W238="Detectivo",X238="Automático"),"40%",IF(AND(W238="Detectivo",X238="Manual"),"30%",IF(AND(W238="Correctivo",X238="Automático"),"35%",IF(AND(W238="Correctivo",X238="Manual"),"25%",""))))))</f>
        <v>40%</v>
      </c>
      <c r="Z238" s="154" t="s">
        <v>18</v>
      </c>
      <c r="AA238" s="154" t="s">
        <v>21</v>
      </c>
      <c r="AB238" s="154" t="s">
        <v>112</v>
      </c>
      <c r="AC238" s="156">
        <f>IFERROR(IF(AND(V237="Probabilidad",V238="Probabilidad"),(AE237-(+AE237*Y238)),IF(V238="Probabilidad",(N237-(+N237*Y238)),IF(V238="Impacto",AE237,""))),"")</f>
        <v>0.28799999999999998</v>
      </c>
      <c r="AD238" s="157" t="str">
        <f t="shared" ref="AD238:AD242" si="459">IFERROR(IF(AC238="","",IF(AC238&lt;=0.2,"Muy Baja",IF(AC238&lt;=0.4,"Baja",IF(AC238&lt;=0.6,"Media",IF(AC238&lt;=0.8,"Alta","Muy Alta"))))),"")</f>
        <v>Baja</v>
      </c>
      <c r="AE238" s="158">
        <f t="shared" ref="AE238:AE242" si="460">+AC238</f>
        <v>0.28799999999999998</v>
      </c>
      <c r="AF238" s="157" t="str">
        <f t="shared" ref="AF238:AF242" si="461">IFERROR(IF(AG238="","",IF(AG238&lt;=0.2,"Leve",IF(AG238&lt;=0.4,"Menor",IF(AG238&lt;=0.6,"Moderado",IF(AG238&lt;=0.8,"Mayor","Catastrófico"))))),"")</f>
        <v>Mayor</v>
      </c>
      <c r="AG238" s="158">
        <f>IFERROR(IF(AND(V237="Impacto",V238="Impacto"),(AG237-(+AG237*Y238)),IF(V238="Impacto",(R237-(+R237*Y238)),IF(V238="Probabilidad",AG237,""))),"")</f>
        <v>0.8</v>
      </c>
      <c r="AH238" s="159" t="str">
        <f t="shared" ref="AH238:AH239" si="462">IFERROR(IF(OR(AND(AD238="Muy Baja",AF238="Leve"),AND(AD238="Muy Baja",AF238="Menor"),AND(AD238="Baja",AF238="Leve")),"Bajo",IF(OR(AND(AD238="Muy baja",AF238="Moderado"),AND(AD238="Baja",AF238="Menor"),AND(AD238="Baja",AF238="Moderado"),AND(AD238="Media",AF238="Leve"),AND(AD238="Media",AF238="Menor"),AND(AD238="Media",AF238="Moderado"),AND(AD238="Alta",AF238="Leve"),AND(AD238="Alta",AF238="Menor")),"Moderado",IF(OR(AND(AD238="Muy Baja",AF238="Mayor"),AND(AD238="Baja",AF238="Mayor"),AND(AD238="Media",AF238="Mayor"),AND(AD238="Alta",AF238="Moderado"),AND(AD238="Alta",AF238="Mayor"),AND(AD238="Muy Alta",AF238="Leve"),AND(AD238="Muy Alta",AF238="Menor"),AND(AD238="Muy Alta",AF238="Moderado"),AND(AD238="Muy Alta",AF238="Mayor")),"Alto",IF(OR(AND(AD238="Muy Baja",AF238="Catastrófico"),AND(AD238="Baja",AF238="Catastrófico"),AND(AD238="Media",AF238="Catastrófico"),AND(AD238="Alta",AF238="Catastrófico"),AND(AD238="Muy Alta",AF238="Catastrófico")),"Extremo","")))),"")</f>
        <v>Alto</v>
      </c>
      <c r="AI238" s="161" t="s">
        <v>117</v>
      </c>
      <c r="AJ238" s="181"/>
      <c r="AK238" s="185"/>
      <c r="AL238" s="187"/>
      <c r="AM238" s="195"/>
      <c r="AN238" s="183"/>
      <c r="AO238" s="192"/>
      <c r="AP238" s="181"/>
    </row>
    <row r="239" spans="1:73" ht="15" customHeight="1" x14ac:dyDescent="0.2">
      <c r="A239" s="214"/>
      <c r="B239" s="241"/>
      <c r="C239" s="241"/>
      <c r="D239" s="183"/>
      <c r="E239" s="181"/>
      <c r="F239" s="181"/>
      <c r="G239" s="289"/>
      <c r="H239" s="289"/>
      <c r="I239" s="289"/>
      <c r="J239" s="217"/>
      <c r="K239" s="183"/>
      <c r="L239" s="185"/>
      <c r="M239" s="205"/>
      <c r="N239" s="206"/>
      <c r="O239" s="203"/>
      <c r="P239" s="239">
        <f>IF(NOT(ISERROR(MATCH(O239,_xlfn.ANCHORARRAY(#REF!),0))),#REF!&amp;"Por favor no seleccionar los criterios de impacto",O239)</f>
        <v>0</v>
      </c>
      <c r="Q239" s="205"/>
      <c r="R239" s="206"/>
      <c r="S239" s="207"/>
      <c r="T239" s="152">
        <v>3</v>
      </c>
      <c r="U239" s="166"/>
      <c r="V239" s="153" t="str">
        <f>IF(OR(W239="Preventivo",W239="Detectivo"),"Probabilidad",IF(W239="Correctivo","Impacto",""))</f>
        <v/>
      </c>
      <c r="W239" s="154"/>
      <c r="X239" s="154"/>
      <c r="Y239" s="155" t="str">
        <f t="shared" si="458"/>
        <v/>
      </c>
      <c r="Z239" s="154"/>
      <c r="AA239" s="154"/>
      <c r="AB239" s="154"/>
      <c r="AC239" s="156" t="str">
        <f>IFERROR(IF(AND(V238="Probabilidad",V239="Probabilidad"),(AE238-(+AE238*Y239)),IF(AND(V238="Impacto",V239="Probabilidad"),(AE237-(+AE237*Y239)),IF(V239="Impacto",AE238,""))),"")</f>
        <v/>
      </c>
      <c r="AD239" s="157" t="str">
        <f t="shared" si="459"/>
        <v/>
      </c>
      <c r="AE239" s="158" t="str">
        <f t="shared" si="460"/>
        <v/>
      </c>
      <c r="AF239" s="157" t="str">
        <f t="shared" si="461"/>
        <v/>
      </c>
      <c r="AG239" s="158" t="str">
        <f>IFERROR(IF(AND(V238="Impacto",V239="Impacto"),(AG238-(+AG238*Y239)),IF(AND(V238="Probabilidad",V239="Impacto"),(AG237-(+AG237*Y239)),IF(V239="Probabilidad",AG238,""))),"")</f>
        <v/>
      </c>
      <c r="AH239" s="159" t="str">
        <f t="shared" si="462"/>
        <v/>
      </c>
      <c r="AI239" s="161"/>
      <c r="AJ239" s="181"/>
      <c r="AK239" s="185"/>
      <c r="AL239" s="187"/>
      <c r="AM239" s="195"/>
      <c r="AN239" s="183"/>
      <c r="AO239" s="192"/>
      <c r="AP239" s="181"/>
    </row>
    <row r="240" spans="1:73" ht="15" customHeight="1" x14ac:dyDescent="0.2">
      <c r="A240" s="214"/>
      <c r="B240" s="241"/>
      <c r="C240" s="241"/>
      <c r="D240" s="183"/>
      <c r="E240" s="181"/>
      <c r="F240" s="181"/>
      <c r="G240" s="289"/>
      <c r="H240" s="289"/>
      <c r="I240" s="289"/>
      <c r="J240" s="217"/>
      <c r="K240" s="183"/>
      <c r="L240" s="185"/>
      <c r="M240" s="205"/>
      <c r="N240" s="206"/>
      <c r="O240" s="203"/>
      <c r="P240" s="239">
        <f>IF(NOT(ISERROR(MATCH(O240,_xlfn.ANCHORARRAY(#REF!),0))),#REF!&amp;"Por favor no seleccionar los criterios de impacto",O240)</f>
        <v>0</v>
      </c>
      <c r="Q240" s="205"/>
      <c r="R240" s="206"/>
      <c r="S240" s="207"/>
      <c r="T240" s="152">
        <v>4</v>
      </c>
      <c r="U240" s="166"/>
      <c r="V240" s="153" t="str">
        <f t="shared" ref="V240:V242" si="463">IF(OR(W240="Preventivo",W240="Detectivo"),"Probabilidad",IF(W240="Correctivo","Impacto",""))</f>
        <v/>
      </c>
      <c r="W240" s="154"/>
      <c r="X240" s="154"/>
      <c r="Y240" s="155" t="str">
        <f t="shared" si="458"/>
        <v/>
      </c>
      <c r="Z240" s="154"/>
      <c r="AA240" s="154"/>
      <c r="AB240" s="154"/>
      <c r="AC240" s="156" t="str">
        <f t="shared" ref="AC240:AC242" si="464">IFERROR(IF(AND(V239="Probabilidad",V240="Probabilidad"),(AE239-(+AE239*Y240)),IF(AND(V239="Impacto",V240="Probabilidad"),(AE238-(+AE238*Y240)),IF(V240="Impacto",AE239,""))),"")</f>
        <v/>
      </c>
      <c r="AD240" s="157" t="str">
        <f t="shared" si="459"/>
        <v/>
      </c>
      <c r="AE240" s="158" t="str">
        <f t="shared" si="460"/>
        <v/>
      </c>
      <c r="AF240" s="157" t="str">
        <f t="shared" si="461"/>
        <v/>
      </c>
      <c r="AG240" s="158" t="str">
        <f t="shared" ref="AG240:AG242" si="465">IFERROR(IF(AND(V239="Impacto",V240="Impacto"),(AG239-(+AG239*Y240)),IF(AND(V239="Probabilidad",V240="Impacto"),(AG238-(+AG238*Y240)),IF(V240="Probabilidad",AG239,""))),"")</f>
        <v/>
      </c>
      <c r="AH240" s="159" t="str">
        <f>IFERROR(IF(OR(AND(AD240="Muy Baja",AF240="Leve"),AND(AD240="Muy Baja",AF240="Menor"),AND(AD240="Baja",AF240="Leve")),"Bajo",IF(OR(AND(AD240="Muy baja",AF240="Moderado"),AND(AD240="Baja",AF240="Menor"),AND(AD240="Baja",AF240="Moderado"),AND(AD240="Media",AF240="Leve"),AND(AD240="Media",AF240="Menor"),AND(AD240="Media",AF240="Moderado"),AND(AD240="Alta",AF240="Leve"),AND(AD240="Alta",AF240="Menor")),"Moderado",IF(OR(AND(AD240="Muy Baja",AF240="Mayor"),AND(AD240="Baja",AF240="Mayor"),AND(AD240="Media",AF240="Mayor"),AND(AD240="Alta",AF240="Moderado"),AND(AD240="Alta",AF240="Mayor"),AND(AD240="Muy Alta",AF240="Leve"),AND(AD240="Muy Alta",AF240="Menor"),AND(AD240="Muy Alta",AF240="Moderado"),AND(AD240="Muy Alta",AF240="Mayor")),"Alto",IF(OR(AND(AD240="Muy Baja",AF240="Catastrófico"),AND(AD240="Baja",AF240="Catastrófico"),AND(AD240="Media",AF240="Catastrófico"),AND(AD240="Alta",AF240="Catastrófico"),AND(AD240="Muy Alta",AF240="Catastrófico")),"Extremo","")))),"")</f>
        <v/>
      </c>
      <c r="AI240" s="161"/>
      <c r="AJ240" s="181"/>
      <c r="AK240" s="185"/>
      <c r="AL240" s="187"/>
      <c r="AM240" s="195"/>
      <c r="AN240" s="183"/>
      <c r="AO240" s="192"/>
      <c r="AP240" s="181"/>
    </row>
    <row r="241" spans="1:73" ht="15" customHeight="1" x14ac:dyDescent="0.2">
      <c r="A241" s="214"/>
      <c r="B241" s="241"/>
      <c r="C241" s="241"/>
      <c r="D241" s="183"/>
      <c r="E241" s="181"/>
      <c r="F241" s="181"/>
      <c r="G241" s="289"/>
      <c r="H241" s="289"/>
      <c r="I241" s="289"/>
      <c r="J241" s="217"/>
      <c r="K241" s="183"/>
      <c r="L241" s="185"/>
      <c r="M241" s="205"/>
      <c r="N241" s="206"/>
      <c r="O241" s="203"/>
      <c r="P241" s="239">
        <f>IF(NOT(ISERROR(MATCH(O241,_xlfn.ANCHORARRAY(#REF!),0))),N244&amp;"Por favor no seleccionar los criterios de impacto",O241)</f>
        <v>0</v>
      </c>
      <c r="Q241" s="205"/>
      <c r="R241" s="206"/>
      <c r="S241" s="207"/>
      <c r="T241" s="152">
        <v>5</v>
      </c>
      <c r="U241" s="166"/>
      <c r="V241" s="153" t="str">
        <f t="shared" si="463"/>
        <v/>
      </c>
      <c r="W241" s="154"/>
      <c r="X241" s="154"/>
      <c r="Y241" s="155" t="str">
        <f t="shared" si="458"/>
        <v/>
      </c>
      <c r="Z241" s="154"/>
      <c r="AA241" s="154"/>
      <c r="AB241" s="154"/>
      <c r="AC241" s="156" t="str">
        <f t="shared" si="464"/>
        <v/>
      </c>
      <c r="AD241" s="157" t="str">
        <f t="shared" si="459"/>
        <v/>
      </c>
      <c r="AE241" s="158" t="str">
        <f t="shared" si="460"/>
        <v/>
      </c>
      <c r="AF241" s="157" t="str">
        <f t="shared" si="461"/>
        <v/>
      </c>
      <c r="AG241" s="158" t="str">
        <f t="shared" si="465"/>
        <v/>
      </c>
      <c r="AH241" s="159" t="str">
        <f t="shared" ref="AH241:AH242" si="466">IFERROR(IF(OR(AND(AD241="Muy Baja",AF241="Leve"),AND(AD241="Muy Baja",AF241="Menor"),AND(AD241="Baja",AF241="Leve")),"Bajo",IF(OR(AND(AD241="Muy baja",AF241="Moderado"),AND(AD241="Baja",AF241="Menor"),AND(AD241="Baja",AF241="Moderado"),AND(AD241="Media",AF241="Leve"),AND(AD241="Media",AF241="Menor"),AND(AD241="Media",AF241="Moderado"),AND(AD241="Alta",AF241="Leve"),AND(AD241="Alta",AF241="Menor")),"Moderado",IF(OR(AND(AD241="Muy Baja",AF241="Mayor"),AND(AD241="Baja",AF241="Mayor"),AND(AD241="Media",AF241="Mayor"),AND(AD241="Alta",AF241="Moderado"),AND(AD241="Alta",AF241="Mayor"),AND(AD241="Muy Alta",AF241="Leve"),AND(AD241="Muy Alta",AF241="Menor"),AND(AD241="Muy Alta",AF241="Moderado"),AND(AD241="Muy Alta",AF241="Mayor")),"Alto",IF(OR(AND(AD241="Muy Baja",AF241="Catastrófico"),AND(AD241="Baja",AF241="Catastrófico"),AND(AD241="Media",AF241="Catastrófico"),AND(AD241="Alta",AF241="Catastrófico"),AND(AD241="Muy Alta",AF241="Catastrófico")),"Extremo","")))),"")</f>
        <v/>
      </c>
      <c r="AI241" s="161"/>
      <c r="AJ241" s="181"/>
      <c r="AK241" s="185"/>
      <c r="AL241" s="187"/>
      <c r="AM241" s="195"/>
      <c r="AN241" s="183"/>
      <c r="AO241" s="192"/>
      <c r="AP241" s="181"/>
    </row>
    <row r="242" spans="1:73" ht="15" customHeight="1" x14ac:dyDescent="0.2">
      <c r="A242" s="214"/>
      <c r="B242" s="241"/>
      <c r="C242" s="241"/>
      <c r="D242" s="183"/>
      <c r="E242" s="181"/>
      <c r="F242" s="181"/>
      <c r="G242" s="289"/>
      <c r="H242" s="289"/>
      <c r="I242" s="289"/>
      <c r="J242" s="217"/>
      <c r="K242" s="183"/>
      <c r="L242" s="185"/>
      <c r="M242" s="205"/>
      <c r="N242" s="206"/>
      <c r="O242" s="203"/>
      <c r="P242" s="239">
        <f>IF(NOT(ISERROR(MATCH(O242,_xlfn.ANCHORARRAY(#REF!),0))),N245&amp;"Por favor no seleccionar los criterios de impacto",O242)</f>
        <v>0</v>
      </c>
      <c r="Q242" s="205"/>
      <c r="R242" s="206"/>
      <c r="S242" s="207"/>
      <c r="T242" s="152">
        <v>6</v>
      </c>
      <c r="U242" s="160"/>
      <c r="V242" s="153" t="str">
        <f t="shared" si="463"/>
        <v/>
      </c>
      <c r="W242" s="154"/>
      <c r="X242" s="154"/>
      <c r="Y242" s="155" t="str">
        <f t="shared" si="458"/>
        <v/>
      </c>
      <c r="Z242" s="154"/>
      <c r="AA242" s="154"/>
      <c r="AB242" s="154"/>
      <c r="AC242" s="156" t="str">
        <f t="shared" si="464"/>
        <v/>
      </c>
      <c r="AD242" s="157" t="str">
        <f t="shared" si="459"/>
        <v/>
      </c>
      <c r="AE242" s="158" t="str">
        <f t="shared" si="460"/>
        <v/>
      </c>
      <c r="AF242" s="157" t="str">
        <f t="shared" si="461"/>
        <v/>
      </c>
      <c r="AG242" s="158" t="str">
        <f t="shared" si="465"/>
        <v/>
      </c>
      <c r="AH242" s="159" t="str">
        <f t="shared" si="466"/>
        <v/>
      </c>
      <c r="AI242" s="161"/>
      <c r="AJ242" s="181"/>
      <c r="AK242" s="185"/>
      <c r="AL242" s="187"/>
      <c r="AM242" s="195"/>
      <c r="AN242" s="183"/>
      <c r="AO242" s="192"/>
      <c r="AP242" s="181"/>
    </row>
    <row r="243" spans="1:73" ht="99.75" x14ac:dyDescent="0.2">
      <c r="A243" s="214">
        <v>42</v>
      </c>
      <c r="B243" s="243" t="s">
        <v>247</v>
      </c>
      <c r="C243" s="243" t="s">
        <v>692</v>
      </c>
      <c r="D243" s="184" t="s">
        <v>266</v>
      </c>
      <c r="E243" s="180" t="s">
        <v>693</v>
      </c>
      <c r="F243" s="180" t="s">
        <v>694</v>
      </c>
      <c r="G243" s="180" t="s">
        <v>695</v>
      </c>
      <c r="H243" s="196" t="s">
        <v>696</v>
      </c>
      <c r="I243" s="246" t="s">
        <v>697</v>
      </c>
      <c r="J243" s="218" t="s">
        <v>230</v>
      </c>
      <c r="K243" s="184" t="s">
        <v>227</v>
      </c>
      <c r="L243" s="186">
        <v>2000</v>
      </c>
      <c r="M243" s="205" t="str">
        <f t="shared" ref="M243" si="467">IF(L243&lt;=0,"",IF(L243&lt;=2,"Muy Baja",IF(L243&lt;=24,"Baja",IF(L243&lt;=500,"Media",IF(L243&lt;=5000,"Alta","Muy Alta")))))</f>
        <v>Alta</v>
      </c>
      <c r="N243" s="206">
        <f t="shared" ref="N243" si="468">IF(M243="","",IF(M243="Muy Baja",0.2,IF(M243="Baja",0.4,IF(M243="Media",0.6,IF(M243="Alta",0.8,IF(M243="Muy Alta",1,))))))</f>
        <v>0.8</v>
      </c>
      <c r="O243" s="211" t="s">
        <v>136</v>
      </c>
      <c r="P243" s="239" t="str">
        <f>IF(NOT(ISERROR(MATCH(O243,'Tabla Impacto'!$B$221:$B$223,0))),'Tabla Impacto'!$F$223&amp;"Por favor no seleccionar los criterios de impacto(Afectación Económica o presupuestal y Pérdida Reputacional)",O243)</f>
        <v xml:space="preserve">     El riesgo afecta la imagen de la entidad a nivel nacional, con efecto publicitarios sostenible a nivel país</v>
      </c>
      <c r="Q243" s="205" t="str">
        <f>IF(OR(P243='Tabla Impacto'!$C$11,P243='Tabla Impacto'!$D$11),"Leve",IF(OR(P243='Tabla Impacto'!$C$12,P243='Tabla Impacto'!$D$12),"Menor",IF(OR(P243='Tabla Impacto'!$C$13,P243='Tabla Impacto'!$D$13),"Moderado",IF(OR(P243='Tabla Impacto'!$C$14,P243='Tabla Impacto'!$D$14),"Mayor",IF(OR(P243='Tabla Impacto'!$C$15,P243='Tabla Impacto'!$D$15),"Catastrófico","")))))</f>
        <v>Catastrófico</v>
      </c>
      <c r="R243" s="206">
        <f t="shared" ref="R243" si="469">IF(Q243="","",IF(Q243="Leve",0.2,IF(Q243="Menor",0.4,IF(Q243="Moderado",0.6,IF(Q243="Mayor",0.8,IF(Q243="Catastrófico",1,))))))</f>
        <v>1</v>
      </c>
      <c r="S243" s="207" t="str">
        <f t="shared" ref="S243" si="470">IF(OR(AND(M243="Muy Baja",Q243="Leve"),AND(M243="Muy Baja",Q243="Menor"),AND(M243="Baja",Q243="Leve")),"Bajo",IF(OR(AND(M243="Muy baja",Q243="Moderado"),AND(M243="Baja",Q243="Menor"),AND(M243="Baja",Q243="Moderado"),AND(M243="Media",Q243="Leve"),AND(M243="Media",Q243="Menor"),AND(M243="Media",Q243="Moderado"),AND(M243="Alta",Q243="Leve"),AND(M243="Alta",Q243="Menor")),"Moderado",IF(OR(AND(M243="Muy Baja",Q243="Mayor"),AND(M243="Baja",Q243="Mayor"),AND(M243="Media",Q243="Mayor"),AND(M243="Alta",Q243="Moderado"),AND(M243="Alta",Q243="Mayor"),AND(M243="Muy Alta",Q243="Leve"),AND(M243="Muy Alta",Q243="Menor"),AND(M243="Muy Alta",Q243="Moderado"),AND(M243="Muy Alta",Q243="Mayor")),"Alto",IF(OR(AND(M243="Muy Baja",Q243="Catastrófico"),AND(M243="Baja",Q243="Catastrófico"),AND(M243="Media",Q243="Catastrófico"),AND(M243="Alta",Q243="Catastrófico"),AND(M243="Muy Alta",Q243="Catastrófico")),"Extremo",""))))</f>
        <v>Extremo</v>
      </c>
      <c r="T243" s="152">
        <v>1</v>
      </c>
      <c r="U243" s="173" t="s">
        <v>698</v>
      </c>
      <c r="V243" s="153" t="str">
        <f>IF(OR(W243="Preventivo",W243="Detectivo"),"Probabilidad",IF(W243="Correctivo","Impacto",""))</f>
        <v>Probabilidad</v>
      </c>
      <c r="W243" s="145" t="s">
        <v>13</v>
      </c>
      <c r="X243" s="145" t="s">
        <v>8</v>
      </c>
      <c r="Y243" s="155" t="str">
        <f>IF(AND(W243="Preventivo",X243="Automático"),"50%",IF(AND(W243="Preventivo",X243="Manual"),"40%",IF(AND(W243="Detectivo",X243="Automático"),"40%",IF(AND(W243="Detectivo",X243="Manual"),"30%",IF(AND(W243="Correctivo",X243="Automático"),"35%",IF(AND(W243="Correctivo",X243="Manual"),"25%",""))))))</f>
        <v>40%</v>
      </c>
      <c r="Z243" s="145" t="s">
        <v>18</v>
      </c>
      <c r="AA243" s="145" t="s">
        <v>21</v>
      </c>
      <c r="AB243" s="145" t="s">
        <v>112</v>
      </c>
      <c r="AC243" s="156">
        <f>IFERROR(IF(V243="Probabilidad",(N243-(+N243*Y243)),IF(V243="Impacto",N243,"")),"")</f>
        <v>0.48</v>
      </c>
      <c r="AD243" s="157" t="str">
        <f>IFERROR(IF(AC243="","",IF(AC243&lt;=0.2,"Muy Baja",IF(AC243&lt;=0.4,"Baja",IF(AC243&lt;=0.6,"Media",IF(AC243&lt;=0.8,"Alta","Muy Alta"))))),"")</f>
        <v>Media</v>
      </c>
      <c r="AE243" s="158">
        <f>+AC243</f>
        <v>0.48</v>
      </c>
      <c r="AF243" s="157" t="str">
        <f>IFERROR(IF(AG243="","",IF(AG243&lt;=0.2,"Leve",IF(AG243&lt;=0.4,"Menor",IF(AG243&lt;=0.6,"Moderado",IF(AG243&lt;=0.8,"Mayor","Catastrófico"))))),"")</f>
        <v>Catastrófico</v>
      </c>
      <c r="AG243" s="158">
        <f>IFERROR(IF(V243="Impacto",(R243-(+R243*Y243)),IF(V243="Probabilidad",R243,"")),"")</f>
        <v>1</v>
      </c>
      <c r="AH243" s="159" t="str">
        <f>IFERROR(IF(OR(AND(AD243="Muy Baja",AF243="Leve"),AND(AD243="Muy Baja",AF243="Menor"),AND(AD243="Baja",AF243="Leve")),"Bajo",IF(OR(AND(AD243="Muy baja",AF243="Moderado"),AND(AD243="Baja",AF243="Menor"),AND(AD243="Baja",AF243="Moderado"),AND(AD243="Media",AF243="Leve"),AND(AD243="Media",AF243="Menor"),AND(AD243="Media",AF243="Moderado"),AND(AD243="Alta",AF243="Leve"),AND(AD243="Alta",AF243="Menor")),"Moderado",IF(OR(AND(AD243="Muy Baja",AF243="Mayor"),AND(AD243="Baja",AF243="Mayor"),AND(AD243="Media",AF243="Mayor"),AND(AD243="Alta",AF243="Moderado"),AND(AD243="Alta",AF243="Mayor"),AND(AD243="Muy Alta",AF243="Leve"),AND(AD243="Muy Alta",AF243="Menor"),AND(AD243="Muy Alta",AF243="Moderado"),AND(AD243="Muy Alta",AF243="Mayor")),"Alto",IF(OR(AND(AD243="Muy Baja",AF243="Catastrófico"),AND(AD243="Baja",AF243="Catastrófico"),AND(AD243="Media",AF243="Catastrófico"),AND(AD243="Alta",AF243="Catastrófico"),AND(AD243="Muy Alta",AF243="Catastrófico")),"Extremo","")))),"")</f>
        <v>Extremo</v>
      </c>
      <c r="AI243" s="151" t="s">
        <v>117</v>
      </c>
      <c r="AJ243" s="196" t="s">
        <v>701</v>
      </c>
      <c r="AK243" s="186" t="s">
        <v>145</v>
      </c>
      <c r="AL243" s="188">
        <v>45293</v>
      </c>
      <c r="AM243" s="194">
        <v>45657</v>
      </c>
      <c r="AN243" s="184" t="s">
        <v>284</v>
      </c>
      <c r="AO243" s="190" t="s">
        <v>269</v>
      </c>
      <c r="AP243" s="196" t="s">
        <v>702</v>
      </c>
      <c r="AQ243" s="10"/>
      <c r="AR243" s="10"/>
      <c r="AS243" s="10"/>
      <c r="AT243" s="10"/>
      <c r="AU243" s="10"/>
      <c r="AV243" s="10"/>
      <c r="AW243" s="10"/>
      <c r="AX243" s="10"/>
      <c r="AY243" s="10"/>
      <c r="AZ243" s="10"/>
      <c r="BA243" s="10"/>
      <c r="BB243" s="10"/>
      <c r="BC243" s="10"/>
      <c r="BD243" s="10"/>
      <c r="BE243" s="10"/>
      <c r="BF243" s="10"/>
      <c r="BG243" s="10"/>
      <c r="BH243" s="10"/>
      <c r="BI243" s="10"/>
      <c r="BJ243" s="10"/>
      <c r="BK243" s="10"/>
      <c r="BL243" s="10"/>
      <c r="BM243" s="10"/>
      <c r="BN243" s="10"/>
      <c r="BO243" s="10"/>
      <c r="BP243" s="10"/>
      <c r="BQ243" s="10"/>
      <c r="BR243" s="10"/>
      <c r="BS243" s="10"/>
      <c r="BT243" s="10"/>
      <c r="BU243" s="10"/>
    </row>
    <row r="244" spans="1:73" ht="156.75" x14ac:dyDescent="0.2">
      <c r="A244" s="214"/>
      <c r="B244" s="241"/>
      <c r="C244" s="241"/>
      <c r="D244" s="183"/>
      <c r="E244" s="181"/>
      <c r="F244" s="181"/>
      <c r="G244" s="181"/>
      <c r="H244" s="197"/>
      <c r="I244" s="242"/>
      <c r="J244" s="217"/>
      <c r="K244" s="183"/>
      <c r="L244" s="185"/>
      <c r="M244" s="205"/>
      <c r="N244" s="206"/>
      <c r="O244" s="203"/>
      <c r="P244" s="239">
        <f>IF(NOT(ISERROR(MATCH(O244,_xlfn.ANCHORARRAY(#REF!),0))),#REF!&amp;"Por favor no seleccionar los criterios de impacto",O244)</f>
        <v>0</v>
      </c>
      <c r="Q244" s="205"/>
      <c r="R244" s="206"/>
      <c r="S244" s="207"/>
      <c r="T244" s="152">
        <v>2</v>
      </c>
      <c r="U244" s="166" t="s">
        <v>699</v>
      </c>
      <c r="V244" s="153" t="str">
        <f>IF(OR(W244="Preventivo",W244="Detectivo"),"Probabilidad",IF(W244="Correctivo","Impacto",""))</f>
        <v>Probabilidad</v>
      </c>
      <c r="W244" s="154" t="s">
        <v>13</v>
      </c>
      <c r="X244" s="154" t="s">
        <v>8</v>
      </c>
      <c r="Y244" s="155" t="str">
        <f t="shared" ref="Y244:Y248" si="471">IF(AND(W244="Preventivo",X244="Automático"),"50%",IF(AND(W244="Preventivo",X244="Manual"),"40%",IF(AND(W244="Detectivo",X244="Automático"),"40%",IF(AND(W244="Detectivo",X244="Manual"),"30%",IF(AND(W244="Correctivo",X244="Automático"),"35%",IF(AND(W244="Correctivo",X244="Manual"),"25%",""))))))</f>
        <v>40%</v>
      </c>
      <c r="Z244" s="154" t="s">
        <v>18</v>
      </c>
      <c r="AA244" s="154" t="s">
        <v>21</v>
      </c>
      <c r="AB244" s="154" t="s">
        <v>112</v>
      </c>
      <c r="AC244" s="156">
        <f>IFERROR(IF(AND(V243="Probabilidad",V244="Probabilidad"),(AE243-(+AE243*Y244)),IF(V244="Probabilidad",(N243-(+N243*Y244)),IF(V244="Impacto",AE243,""))),"")</f>
        <v>0.28799999999999998</v>
      </c>
      <c r="AD244" s="157" t="str">
        <f t="shared" ref="AD244:AD248" si="472">IFERROR(IF(AC244="","",IF(AC244&lt;=0.2,"Muy Baja",IF(AC244&lt;=0.4,"Baja",IF(AC244&lt;=0.6,"Media",IF(AC244&lt;=0.8,"Alta","Muy Alta"))))),"")</f>
        <v>Baja</v>
      </c>
      <c r="AE244" s="158">
        <f t="shared" ref="AE244:AE248" si="473">+AC244</f>
        <v>0.28799999999999998</v>
      </c>
      <c r="AF244" s="157" t="str">
        <f t="shared" ref="AF244:AF248" si="474">IFERROR(IF(AG244="","",IF(AG244&lt;=0.2,"Leve",IF(AG244&lt;=0.4,"Menor",IF(AG244&lt;=0.6,"Moderado",IF(AG244&lt;=0.8,"Mayor","Catastrófico"))))),"")</f>
        <v>Catastrófico</v>
      </c>
      <c r="AG244" s="158">
        <f>IFERROR(IF(AND(V243="Impacto",V244="Impacto"),(AG243-(+AG243*Y244)),IF(V244="Impacto",(R243-(+R243*Y244)),IF(V244="Probabilidad",AG243,""))),"")</f>
        <v>1</v>
      </c>
      <c r="AH244" s="159" t="str">
        <f t="shared" ref="AH244:AH245" si="475">IFERROR(IF(OR(AND(AD244="Muy Baja",AF244="Leve"),AND(AD244="Muy Baja",AF244="Menor"),AND(AD244="Baja",AF244="Leve")),"Bajo",IF(OR(AND(AD244="Muy baja",AF244="Moderado"),AND(AD244="Baja",AF244="Menor"),AND(AD244="Baja",AF244="Moderado"),AND(AD244="Media",AF244="Leve"),AND(AD244="Media",AF244="Menor"),AND(AD244="Media",AF244="Moderado"),AND(AD244="Alta",AF244="Leve"),AND(AD244="Alta",AF244="Menor")),"Moderado",IF(OR(AND(AD244="Muy Baja",AF244="Mayor"),AND(AD244="Baja",AF244="Mayor"),AND(AD244="Media",AF244="Mayor"),AND(AD244="Alta",AF244="Moderado"),AND(AD244="Alta",AF244="Mayor"),AND(AD244="Muy Alta",AF244="Leve"),AND(AD244="Muy Alta",AF244="Menor"),AND(AD244="Muy Alta",AF244="Moderado"),AND(AD244="Muy Alta",AF244="Mayor")),"Alto",IF(OR(AND(AD244="Muy Baja",AF244="Catastrófico"),AND(AD244="Baja",AF244="Catastrófico"),AND(AD244="Media",AF244="Catastrófico"),AND(AD244="Alta",AF244="Catastrófico"),AND(AD244="Muy Alta",AF244="Catastrófico")),"Extremo","")))),"")</f>
        <v>Extremo</v>
      </c>
      <c r="AI244" s="161" t="s">
        <v>117</v>
      </c>
      <c r="AJ244" s="197"/>
      <c r="AK244" s="185"/>
      <c r="AL244" s="187"/>
      <c r="AM244" s="195"/>
      <c r="AN244" s="183"/>
      <c r="AO244" s="190"/>
      <c r="AP244" s="197"/>
    </row>
    <row r="245" spans="1:73" ht="99.75" x14ac:dyDescent="0.2">
      <c r="A245" s="214"/>
      <c r="B245" s="241"/>
      <c r="C245" s="241"/>
      <c r="D245" s="183"/>
      <c r="E245" s="181"/>
      <c r="F245" s="181"/>
      <c r="G245" s="181"/>
      <c r="H245" s="197"/>
      <c r="I245" s="242"/>
      <c r="J245" s="217"/>
      <c r="K245" s="183"/>
      <c r="L245" s="185"/>
      <c r="M245" s="205"/>
      <c r="N245" s="206"/>
      <c r="O245" s="203"/>
      <c r="P245" s="239">
        <f>IF(NOT(ISERROR(MATCH(O245,_xlfn.ANCHORARRAY(#REF!),0))),#REF!&amp;"Por favor no seleccionar los criterios de impacto",O245)</f>
        <v>0</v>
      </c>
      <c r="Q245" s="205"/>
      <c r="R245" s="206"/>
      <c r="S245" s="207"/>
      <c r="T245" s="152">
        <v>3</v>
      </c>
      <c r="U245" s="166" t="s">
        <v>700</v>
      </c>
      <c r="V245" s="153" t="str">
        <f>IF(OR(W245="Preventivo",W245="Detectivo"),"Probabilidad",IF(W245="Correctivo","Impacto",""))</f>
        <v>Probabilidad</v>
      </c>
      <c r="W245" s="154" t="s">
        <v>13</v>
      </c>
      <c r="X245" s="154" t="s">
        <v>8</v>
      </c>
      <c r="Y245" s="155" t="str">
        <f t="shared" si="471"/>
        <v>40%</v>
      </c>
      <c r="Z245" s="154" t="s">
        <v>18</v>
      </c>
      <c r="AA245" s="154" t="s">
        <v>21</v>
      </c>
      <c r="AB245" s="154" t="s">
        <v>112</v>
      </c>
      <c r="AC245" s="156">
        <f>IFERROR(IF(AND(V244="Probabilidad",V245="Probabilidad"),(AE244-(+AE244*Y245)),IF(AND(V244="Impacto",V245="Probabilidad"),(AE243-(+AE243*Y245)),IF(V245="Impacto",AE244,""))),"")</f>
        <v>0.17279999999999998</v>
      </c>
      <c r="AD245" s="157" t="str">
        <f t="shared" si="472"/>
        <v>Muy Baja</v>
      </c>
      <c r="AE245" s="158">
        <f t="shared" si="473"/>
        <v>0.17279999999999998</v>
      </c>
      <c r="AF245" s="157" t="str">
        <f t="shared" si="474"/>
        <v>Catastrófico</v>
      </c>
      <c r="AG245" s="158">
        <f>IFERROR(IF(AND(V244="Impacto",V245="Impacto"),(AG244-(+AG244*Y245)),IF(AND(V244="Probabilidad",V245="Impacto"),(AG243-(+AG243*Y245)),IF(V245="Probabilidad",AG244,""))),"")</f>
        <v>1</v>
      </c>
      <c r="AH245" s="159" t="str">
        <f t="shared" si="475"/>
        <v>Extremo</v>
      </c>
      <c r="AI245" s="161" t="s">
        <v>117</v>
      </c>
      <c r="AJ245" s="197"/>
      <c r="AK245" s="185"/>
      <c r="AL245" s="187"/>
      <c r="AM245" s="195"/>
      <c r="AN245" s="183"/>
      <c r="AO245" s="190"/>
      <c r="AP245" s="197"/>
    </row>
    <row r="246" spans="1:73" ht="15" customHeight="1" x14ac:dyDescent="0.2">
      <c r="A246" s="214"/>
      <c r="B246" s="241"/>
      <c r="C246" s="241"/>
      <c r="D246" s="183"/>
      <c r="E246" s="181"/>
      <c r="F246" s="181"/>
      <c r="G246" s="181"/>
      <c r="H246" s="197"/>
      <c r="I246" s="242"/>
      <c r="J246" s="217"/>
      <c r="K246" s="183"/>
      <c r="L246" s="185"/>
      <c r="M246" s="205"/>
      <c r="N246" s="206"/>
      <c r="O246" s="203"/>
      <c r="P246" s="239">
        <f>IF(NOT(ISERROR(MATCH(O246,_xlfn.ANCHORARRAY(#REF!),0))),#REF!&amp;"Por favor no seleccionar los criterios de impacto",O246)</f>
        <v>0</v>
      </c>
      <c r="Q246" s="205"/>
      <c r="R246" s="206"/>
      <c r="S246" s="207"/>
      <c r="T246" s="152">
        <v>4</v>
      </c>
      <c r="U246" s="160"/>
      <c r="V246" s="153" t="str">
        <f t="shared" ref="V246:V248" si="476">IF(OR(W246="Preventivo",W246="Detectivo"),"Probabilidad",IF(W246="Correctivo","Impacto",""))</f>
        <v/>
      </c>
      <c r="W246" s="154"/>
      <c r="X246" s="154"/>
      <c r="Y246" s="155" t="str">
        <f t="shared" si="471"/>
        <v/>
      </c>
      <c r="Z246" s="154"/>
      <c r="AA246" s="154"/>
      <c r="AB246" s="154"/>
      <c r="AC246" s="156" t="str">
        <f t="shared" ref="AC246:AC248" si="477">IFERROR(IF(AND(V245="Probabilidad",V246="Probabilidad"),(AE245-(+AE245*Y246)),IF(AND(V245="Impacto",V246="Probabilidad"),(AE244-(+AE244*Y246)),IF(V246="Impacto",AE245,""))),"")</f>
        <v/>
      </c>
      <c r="AD246" s="157" t="str">
        <f t="shared" si="472"/>
        <v/>
      </c>
      <c r="AE246" s="158" t="str">
        <f t="shared" si="473"/>
        <v/>
      </c>
      <c r="AF246" s="157" t="str">
        <f t="shared" si="474"/>
        <v/>
      </c>
      <c r="AG246" s="158" t="str">
        <f t="shared" ref="AG246:AG248" si="478">IFERROR(IF(AND(V245="Impacto",V246="Impacto"),(AG245-(+AG245*Y246)),IF(AND(V245="Probabilidad",V246="Impacto"),(AG244-(+AG244*Y246)),IF(V246="Probabilidad",AG245,""))),"")</f>
        <v/>
      </c>
      <c r="AH246" s="159" t="str">
        <f>IFERROR(IF(OR(AND(AD246="Muy Baja",AF246="Leve"),AND(AD246="Muy Baja",AF246="Menor"),AND(AD246="Baja",AF246="Leve")),"Bajo",IF(OR(AND(AD246="Muy baja",AF246="Moderado"),AND(AD246="Baja",AF246="Menor"),AND(AD246="Baja",AF246="Moderado"),AND(AD246="Media",AF246="Leve"),AND(AD246="Media",AF246="Menor"),AND(AD246="Media",AF246="Moderado"),AND(AD246="Alta",AF246="Leve"),AND(AD246="Alta",AF246="Menor")),"Moderado",IF(OR(AND(AD246="Muy Baja",AF246="Mayor"),AND(AD246="Baja",AF246="Mayor"),AND(AD246="Media",AF246="Mayor"),AND(AD246="Alta",AF246="Moderado"),AND(AD246="Alta",AF246="Mayor"),AND(AD246="Muy Alta",AF246="Leve"),AND(AD246="Muy Alta",AF246="Menor"),AND(AD246="Muy Alta",AF246="Moderado"),AND(AD246="Muy Alta",AF246="Mayor")),"Alto",IF(OR(AND(AD246="Muy Baja",AF246="Catastrófico"),AND(AD246="Baja",AF246="Catastrófico"),AND(AD246="Media",AF246="Catastrófico"),AND(AD246="Alta",AF246="Catastrófico"),AND(AD246="Muy Alta",AF246="Catastrófico")),"Extremo","")))),"")</f>
        <v/>
      </c>
      <c r="AI246" s="161"/>
      <c r="AJ246" s="197"/>
      <c r="AK246" s="185"/>
      <c r="AL246" s="187"/>
      <c r="AM246" s="195"/>
      <c r="AN246" s="183"/>
      <c r="AO246" s="190"/>
      <c r="AP246" s="197"/>
    </row>
    <row r="247" spans="1:73" ht="15" customHeight="1" x14ac:dyDescent="0.2">
      <c r="A247" s="214"/>
      <c r="B247" s="241"/>
      <c r="C247" s="241"/>
      <c r="D247" s="183"/>
      <c r="E247" s="181"/>
      <c r="F247" s="181"/>
      <c r="G247" s="181"/>
      <c r="H247" s="197"/>
      <c r="I247" s="242"/>
      <c r="J247" s="217"/>
      <c r="K247" s="183"/>
      <c r="L247" s="185"/>
      <c r="M247" s="205"/>
      <c r="N247" s="206"/>
      <c r="O247" s="203"/>
      <c r="P247" s="239">
        <f>IF(NOT(ISERROR(MATCH(O247,_xlfn.ANCHORARRAY(#REF!),0))),N250&amp;"Por favor no seleccionar los criterios de impacto",O247)</f>
        <v>0</v>
      </c>
      <c r="Q247" s="205"/>
      <c r="R247" s="206"/>
      <c r="S247" s="207"/>
      <c r="T247" s="152">
        <v>5</v>
      </c>
      <c r="U247" s="160"/>
      <c r="V247" s="153" t="str">
        <f t="shared" si="476"/>
        <v/>
      </c>
      <c r="W247" s="154"/>
      <c r="X247" s="154"/>
      <c r="Y247" s="155" t="str">
        <f t="shared" si="471"/>
        <v/>
      </c>
      <c r="Z247" s="154"/>
      <c r="AA247" s="154"/>
      <c r="AB247" s="154"/>
      <c r="AC247" s="156" t="str">
        <f t="shared" si="477"/>
        <v/>
      </c>
      <c r="AD247" s="157" t="str">
        <f t="shared" si="472"/>
        <v/>
      </c>
      <c r="AE247" s="158" t="str">
        <f t="shared" si="473"/>
        <v/>
      </c>
      <c r="AF247" s="157" t="str">
        <f t="shared" si="474"/>
        <v/>
      </c>
      <c r="AG247" s="158" t="str">
        <f t="shared" si="478"/>
        <v/>
      </c>
      <c r="AH247" s="159" t="str">
        <f t="shared" ref="AH247:AH248" si="479">IFERROR(IF(OR(AND(AD247="Muy Baja",AF247="Leve"),AND(AD247="Muy Baja",AF247="Menor"),AND(AD247="Baja",AF247="Leve")),"Bajo",IF(OR(AND(AD247="Muy baja",AF247="Moderado"),AND(AD247="Baja",AF247="Menor"),AND(AD247="Baja",AF247="Moderado"),AND(AD247="Media",AF247="Leve"),AND(AD247="Media",AF247="Menor"),AND(AD247="Media",AF247="Moderado"),AND(AD247="Alta",AF247="Leve"),AND(AD247="Alta",AF247="Menor")),"Moderado",IF(OR(AND(AD247="Muy Baja",AF247="Mayor"),AND(AD247="Baja",AF247="Mayor"),AND(AD247="Media",AF247="Mayor"),AND(AD247="Alta",AF247="Moderado"),AND(AD247="Alta",AF247="Mayor"),AND(AD247="Muy Alta",AF247="Leve"),AND(AD247="Muy Alta",AF247="Menor"),AND(AD247="Muy Alta",AF247="Moderado"),AND(AD247="Muy Alta",AF247="Mayor")),"Alto",IF(OR(AND(AD247="Muy Baja",AF247="Catastrófico"),AND(AD247="Baja",AF247="Catastrófico"),AND(AD247="Media",AF247="Catastrófico"),AND(AD247="Alta",AF247="Catastrófico"),AND(AD247="Muy Alta",AF247="Catastrófico")),"Extremo","")))),"")</f>
        <v/>
      </c>
      <c r="AI247" s="161"/>
      <c r="AJ247" s="197"/>
      <c r="AK247" s="185"/>
      <c r="AL247" s="187"/>
      <c r="AM247" s="195"/>
      <c r="AN247" s="183"/>
      <c r="AO247" s="190"/>
      <c r="AP247" s="197"/>
    </row>
    <row r="248" spans="1:73" ht="15" customHeight="1" x14ac:dyDescent="0.2">
      <c r="A248" s="214"/>
      <c r="B248" s="241"/>
      <c r="C248" s="241"/>
      <c r="D248" s="183"/>
      <c r="E248" s="181"/>
      <c r="F248" s="181"/>
      <c r="G248" s="181"/>
      <c r="H248" s="197"/>
      <c r="I248" s="242"/>
      <c r="J248" s="217"/>
      <c r="K248" s="183"/>
      <c r="L248" s="185"/>
      <c r="M248" s="205"/>
      <c r="N248" s="206"/>
      <c r="O248" s="203"/>
      <c r="P248" s="239">
        <f>IF(NOT(ISERROR(MATCH(O248,_xlfn.ANCHORARRAY(#REF!),0))),N251&amp;"Por favor no seleccionar los criterios de impacto",O248)</f>
        <v>0</v>
      </c>
      <c r="Q248" s="205"/>
      <c r="R248" s="206"/>
      <c r="S248" s="207"/>
      <c r="T248" s="152">
        <v>6</v>
      </c>
      <c r="U248" s="160"/>
      <c r="V248" s="153" t="str">
        <f t="shared" si="476"/>
        <v/>
      </c>
      <c r="W248" s="154"/>
      <c r="X248" s="154"/>
      <c r="Y248" s="155" t="str">
        <f t="shared" si="471"/>
        <v/>
      </c>
      <c r="Z248" s="154"/>
      <c r="AA248" s="154"/>
      <c r="AB248" s="154"/>
      <c r="AC248" s="156" t="str">
        <f t="shared" si="477"/>
        <v/>
      </c>
      <c r="AD248" s="157" t="str">
        <f t="shared" si="472"/>
        <v/>
      </c>
      <c r="AE248" s="158" t="str">
        <f t="shared" si="473"/>
        <v/>
      </c>
      <c r="AF248" s="157" t="str">
        <f t="shared" si="474"/>
        <v/>
      </c>
      <c r="AG248" s="158" t="str">
        <f t="shared" si="478"/>
        <v/>
      </c>
      <c r="AH248" s="159" t="str">
        <f t="shared" si="479"/>
        <v/>
      </c>
      <c r="AI248" s="161"/>
      <c r="AJ248" s="197"/>
      <c r="AK248" s="185"/>
      <c r="AL248" s="187"/>
      <c r="AM248" s="195"/>
      <c r="AN248" s="183"/>
      <c r="AO248" s="191"/>
      <c r="AP248" s="197"/>
    </row>
    <row r="249" spans="1:73" ht="88.5" x14ac:dyDescent="0.2">
      <c r="A249" s="214">
        <v>43</v>
      </c>
      <c r="B249" s="243" t="s">
        <v>246</v>
      </c>
      <c r="C249" s="243" t="s">
        <v>703</v>
      </c>
      <c r="D249" s="184" t="s">
        <v>268</v>
      </c>
      <c r="E249" s="180" t="s">
        <v>704</v>
      </c>
      <c r="F249" s="180" t="s">
        <v>705</v>
      </c>
      <c r="G249" s="180" t="s">
        <v>706</v>
      </c>
      <c r="H249" s="196" t="s">
        <v>707</v>
      </c>
      <c r="I249" s="246" t="s">
        <v>708</v>
      </c>
      <c r="J249" s="218" t="s">
        <v>239</v>
      </c>
      <c r="K249" s="184" t="s">
        <v>243</v>
      </c>
      <c r="L249" s="186">
        <f>24*365</f>
        <v>8760</v>
      </c>
      <c r="M249" s="205" t="str">
        <f t="shared" ref="M249" si="480">IF(L249&lt;=0,"",IF(L249&lt;=2,"Muy Baja",IF(L249&lt;=24,"Baja",IF(L249&lt;=500,"Media",IF(L249&lt;=5000,"Alta","Muy Alta")))))</f>
        <v>Muy Alta</v>
      </c>
      <c r="N249" s="206">
        <f t="shared" ref="N249" si="481">IF(M249="","",IF(M249="Muy Baja",0.2,IF(M249="Baja",0.4,IF(M249="Media",0.6,IF(M249="Alta",0.8,IF(M249="Muy Alta",1,))))))</f>
        <v>1</v>
      </c>
      <c r="O249" s="211" t="s">
        <v>136</v>
      </c>
      <c r="P249" s="239" t="str">
        <f>IF(NOT(ISERROR(MATCH(O249,'Tabla Impacto'!$B$221:$B$223,0))),'Tabla Impacto'!$F$223&amp;"Por favor no seleccionar los criterios de impacto(Afectación Económica o presupuestal y Pérdida Reputacional)",O249)</f>
        <v xml:space="preserve">     El riesgo afecta la imagen de la entidad a nivel nacional, con efecto publicitarios sostenible a nivel país</v>
      </c>
      <c r="Q249" s="205" t="str">
        <f>IF(OR(P249='Tabla Impacto'!$C$11,P249='Tabla Impacto'!$D$11),"Leve",IF(OR(P249='Tabla Impacto'!$C$12,P249='Tabla Impacto'!$D$12),"Menor",IF(OR(P249='Tabla Impacto'!$C$13,P249='Tabla Impacto'!$D$13),"Moderado",IF(OR(P249='Tabla Impacto'!$C$14,P249='Tabla Impacto'!$D$14),"Mayor",IF(OR(P249='Tabla Impacto'!$C$15,P249='Tabla Impacto'!$D$15),"Catastrófico","")))))</f>
        <v>Catastrófico</v>
      </c>
      <c r="R249" s="206">
        <f t="shared" ref="R249" si="482">IF(Q249="","",IF(Q249="Leve",0.2,IF(Q249="Menor",0.4,IF(Q249="Moderado",0.6,IF(Q249="Mayor",0.8,IF(Q249="Catastrófico",1,))))))</f>
        <v>1</v>
      </c>
      <c r="S249" s="207" t="str">
        <f t="shared" ref="S249" si="483">IF(OR(AND(M249="Muy Baja",Q249="Leve"),AND(M249="Muy Baja",Q249="Menor"),AND(M249="Baja",Q249="Leve")),"Bajo",IF(OR(AND(M249="Muy baja",Q249="Moderado"),AND(M249="Baja",Q249="Menor"),AND(M249="Baja",Q249="Moderado"),AND(M249="Media",Q249="Leve"),AND(M249="Media",Q249="Menor"),AND(M249="Media",Q249="Moderado"),AND(M249="Alta",Q249="Leve"),AND(M249="Alta",Q249="Menor")),"Moderado",IF(OR(AND(M249="Muy Baja",Q249="Mayor"),AND(M249="Baja",Q249="Mayor"),AND(M249="Media",Q249="Mayor"),AND(M249="Alta",Q249="Moderado"),AND(M249="Alta",Q249="Mayor"),AND(M249="Muy Alta",Q249="Leve"),AND(M249="Muy Alta",Q249="Menor"),AND(M249="Muy Alta",Q249="Moderado"),AND(M249="Muy Alta",Q249="Mayor")),"Alto",IF(OR(AND(M249="Muy Baja",Q249="Catastrófico"),AND(M249="Baja",Q249="Catastrófico"),AND(M249="Media",Q249="Catastrófico"),AND(M249="Alta",Q249="Catastrófico"),AND(M249="Muy Alta",Q249="Catastrófico")),"Extremo",""))))</f>
        <v>Extremo</v>
      </c>
      <c r="T249" s="152">
        <v>1</v>
      </c>
      <c r="U249" s="173" t="s">
        <v>727</v>
      </c>
      <c r="V249" s="153" t="str">
        <f>IF(OR(W249="Preventivo",W249="Detectivo"),"Probabilidad",IF(W249="Correctivo","Impacto",""))</f>
        <v>Probabilidad</v>
      </c>
      <c r="W249" s="145" t="s">
        <v>13</v>
      </c>
      <c r="X249" s="145" t="s">
        <v>9</v>
      </c>
      <c r="Y249" s="155" t="str">
        <f>IF(AND(W249="Preventivo",X249="Automático"),"50%",IF(AND(W249="Preventivo",X249="Manual"),"40%",IF(AND(W249="Detectivo",X249="Automático"),"40%",IF(AND(W249="Detectivo",X249="Manual"),"30%",IF(AND(W249="Correctivo",X249="Automático"),"35%",IF(AND(W249="Correctivo",X249="Manual"),"25%",""))))))</f>
        <v>50%</v>
      </c>
      <c r="Z249" s="145" t="s">
        <v>18</v>
      </c>
      <c r="AA249" s="145" t="s">
        <v>21</v>
      </c>
      <c r="AB249" s="145" t="s">
        <v>112</v>
      </c>
      <c r="AC249" s="156">
        <f>IFERROR(IF(V249="Probabilidad",(N249-(+N249*Y249)),IF(V249="Impacto",N249,"")),"")</f>
        <v>0.5</v>
      </c>
      <c r="AD249" s="157" t="str">
        <f>IFERROR(IF(AC249="","",IF(AC249&lt;=0.2,"Muy Baja",IF(AC249&lt;=0.4,"Baja",IF(AC249&lt;=0.6,"Media",IF(AC249&lt;=0.8,"Alta","Muy Alta"))))),"")</f>
        <v>Media</v>
      </c>
      <c r="AE249" s="158">
        <f>+AC249</f>
        <v>0.5</v>
      </c>
      <c r="AF249" s="157" t="str">
        <f>IFERROR(IF(AG249="","",IF(AG249&lt;=0.2,"Leve",IF(AG249&lt;=0.4,"Menor",IF(AG249&lt;=0.6,"Moderado",IF(AG249&lt;=0.8,"Mayor","Catastrófico"))))),"")</f>
        <v>Catastrófico</v>
      </c>
      <c r="AG249" s="158">
        <f>IFERROR(IF(V249="Impacto",(R249-(+R249*Y249)),IF(V249="Probabilidad",R249,"")),"")</f>
        <v>1</v>
      </c>
      <c r="AH249" s="159" t="str">
        <f>IFERROR(IF(OR(AND(AD249="Muy Baja",AF249="Leve"),AND(AD249="Muy Baja",AF249="Menor"),AND(AD249="Baja",AF249="Leve")),"Bajo",IF(OR(AND(AD249="Muy baja",AF249="Moderado"),AND(AD249="Baja",AF249="Menor"),AND(AD249="Baja",AF249="Moderado"),AND(AD249="Media",AF249="Leve"),AND(AD249="Media",AF249="Menor"),AND(AD249="Media",AF249="Moderado"),AND(AD249="Alta",AF249="Leve"),AND(AD249="Alta",AF249="Menor")),"Moderado",IF(OR(AND(AD249="Muy Baja",AF249="Mayor"),AND(AD249="Baja",AF249="Mayor"),AND(AD249="Media",AF249="Mayor"),AND(AD249="Alta",AF249="Moderado"),AND(AD249="Alta",AF249="Mayor"),AND(AD249="Muy Alta",AF249="Leve"),AND(AD249="Muy Alta",AF249="Menor"),AND(AD249="Muy Alta",AF249="Moderado"),AND(AD249="Muy Alta",AF249="Mayor")),"Alto",IF(OR(AND(AD249="Muy Baja",AF249="Catastrófico"),AND(AD249="Baja",AF249="Catastrófico"),AND(AD249="Media",AF249="Catastrófico"),AND(AD249="Alta",AF249="Catastrófico"),AND(AD249="Muy Alta",AF249="Catastrófico")),"Extremo","")))),"")</f>
        <v>Extremo</v>
      </c>
      <c r="AI249" s="151" t="s">
        <v>117</v>
      </c>
      <c r="AJ249" s="196" t="s">
        <v>737</v>
      </c>
      <c r="AK249" s="186" t="s">
        <v>186</v>
      </c>
      <c r="AL249" s="188">
        <v>45293</v>
      </c>
      <c r="AM249" s="194">
        <v>45657</v>
      </c>
      <c r="AN249" s="184" t="s">
        <v>284</v>
      </c>
      <c r="AO249" s="190" t="s">
        <v>269</v>
      </c>
      <c r="AP249" s="190" t="s">
        <v>742</v>
      </c>
      <c r="AQ249" s="10"/>
      <c r="AR249" s="10"/>
      <c r="AS249" s="10"/>
      <c r="AT249" s="10"/>
      <c r="AU249" s="10"/>
      <c r="AV249" s="10"/>
      <c r="AW249" s="10"/>
      <c r="AX249" s="10"/>
      <c r="AY249" s="10"/>
      <c r="AZ249" s="10"/>
      <c r="BA249" s="10"/>
      <c r="BB249" s="10"/>
      <c r="BC249" s="10"/>
      <c r="BD249" s="10"/>
      <c r="BE249" s="10"/>
      <c r="BF249" s="10"/>
      <c r="BG249" s="10"/>
      <c r="BH249" s="10"/>
      <c r="BI249" s="10"/>
      <c r="BJ249" s="10"/>
      <c r="BK249" s="10"/>
      <c r="BL249" s="10"/>
      <c r="BM249" s="10"/>
      <c r="BN249" s="10"/>
      <c r="BO249" s="10"/>
      <c r="BP249" s="10"/>
      <c r="BQ249" s="10"/>
      <c r="BR249" s="10"/>
      <c r="BS249" s="10"/>
      <c r="BT249" s="10"/>
      <c r="BU249" s="10"/>
    </row>
    <row r="250" spans="1:73" ht="120.75" customHeight="1" x14ac:dyDescent="0.2">
      <c r="A250" s="214"/>
      <c r="B250" s="241"/>
      <c r="C250" s="241"/>
      <c r="D250" s="183"/>
      <c r="E250" s="181"/>
      <c r="F250" s="181"/>
      <c r="G250" s="181"/>
      <c r="H250" s="197"/>
      <c r="I250" s="242"/>
      <c r="J250" s="217"/>
      <c r="K250" s="183"/>
      <c r="L250" s="185"/>
      <c r="M250" s="205"/>
      <c r="N250" s="206"/>
      <c r="O250" s="203"/>
      <c r="P250" s="239">
        <f>IF(NOT(ISERROR(MATCH(O250,_xlfn.ANCHORARRAY(#REF!),0))),#REF!&amp;"Por favor no seleccionar los criterios de impacto",O250)</f>
        <v>0</v>
      </c>
      <c r="Q250" s="205"/>
      <c r="R250" s="206"/>
      <c r="S250" s="207"/>
      <c r="T250" s="152">
        <v>2</v>
      </c>
      <c r="U250" s="166" t="s">
        <v>728</v>
      </c>
      <c r="V250" s="153" t="str">
        <f>IF(OR(W250="Preventivo",W250="Detectivo"),"Probabilidad",IF(W250="Correctivo","Impacto",""))</f>
        <v>Probabilidad</v>
      </c>
      <c r="W250" s="154" t="s">
        <v>13</v>
      </c>
      <c r="X250" s="154" t="s">
        <v>9</v>
      </c>
      <c r="Y250" s="155" t="str">
        <f t="shared" ref="Y250:Y254" si="484">IF(AND(W250="Preventivo",X250="Automático"),"50%",IF(AND(W250="Preventivo",X250="Manual"),"40%",IF(AND(W250="Detectivo",X250="Automático"),"40%",IF(AND(W250="Detectivo",X250="Manual"),"30%",IF(AND(W250="Correctivo",X250="Automático"),"35%",IF(AND(W250="Correctivo",X250="Manual"),"25%",""))))))</f>
        <v>50%</v>
      </c>
      <c r="Z250" s="154" t="s">
        <v>18</v>
      </c>
      <c r="AA250" s="154" t="s">
        <v>21</v>
      </c>
      <c r="AB250" s="154" t="s">
        <v>112</v>
      </c>
      <c r="AC250" s="156">
        <f>IFERROR(IF(AND(V249="Probabilidad",V250="Probabilidad"),(AE249-(+AE249*Y250)),IF(V250="Probabilidad",(N249-(+N249*Y250)),IF(V250="Impacto",AE249,""))),"")</f>
        <v>0.25</v>
      </c>
      <c r="AD250" s="157" t="str">
        <f t="shared" ref="AD250:AD254" si="485">IFERROR(IF(AC250="","",IF(AC250&lt;=0.2,"Muy Baja",IF(AC250&lt;=0.4,"Baja",IF(AC250&lt;=0.6,"Media",IF(AC250&lt;=0.8,"Alta","Muy Alta"))))),"")</f>
        <v>Baja</v>
      </c>
      <c r="AE250" s="158">
        <f t="shared" ref="AE250:AE254" si="486">+AC250</f>
        <v>0.25</v>
      </c>
      <c r="AF250" s="157" t="str">
        <f t="shared" ref="AF250:AF254" si="487">IFERROR(IF(AG250="","",IF(AG250&lt;=0.2,"Leve",IF(AG250&lt;=0.4,"Menor",IF(AG250&lt;=0.6,"Moderado",IF(AG250&lt;=0.8,"Mayor","Catastrófico"))))),"")</f>
        <v>Catastrófico</v>
      </c>
      <c r="AG250" s="158">
        <f>IFERROR(IF(AND(V249="Impacto",V250="Impacto"),(AG249-(+AG249*Y250)),IF(V250="Impacto",(R249-(+R249*Y250)),IF(V250="Probabilidad",AG249,""))),"")</f>
        <v>1</v>
      </c>
      <c r="AH250" s="159" t="str">
        <f t="shared" ref="AH250:AH251" si="488">IFERROR(IF(OR(AND(AD250="Muy Baja",AF250="Leve"),AND(AD250="Muy Baja",AF250="Menor"),AND(AD250="Baja",AF250="Leve")),"Bajo",IF(OR(AND(AD250="Muy baja",AF250="Moderado"),AND(AD250="Baja",AF250="Menor"),AND(AD250="Baja",AF250="Moderado"),AND(AD250="Media",AF250="Leve"),AND(AD250="Media",AF250="Menor"),AND(AD250="Media",AF250="Moderado"),AND(AD250="Alta",AF250="Leve"),AND(AD250="Alta",AF250="Menor")),"Moderado",IF(OR(AND(AD250="Muy Baja",AF250="Mayor"),AND(AD250="Baja",AF250="Mayor"),AND(AD250="Media",AF250="Mayor"),AND(AD250="Alta",AF250="Moderado"),AND(AD250="Alta",AF250="Mayor"),AND(AD250="Muy Alta",AF250="Leve"),AND(AD250="Muy Alta",AF250="Menor"),AND(AD250="Muy Alta",AF250="Moderado"),AND(AD250="Muy Alta",AF250="Mayor")),"Alto",IF(OR(AND(AD250="Muy Baja",AF250="Catastrófico"),AND(AD250="Baja",AF250="Catastrófico"),AND(AD250="Media",AF250="Catastrófico"),AND(AD250="Alta",AF250="Catastrófico"),AND(AD250="Muy Alta",AF250="Catastrófico")),"Extremo","")))),"")</f>
        <v>Extremo</v>
      </c>
      <c r="AI250" s="161" t="s">
        <v>117</v>
      </c>
      <c r="AJ250" s="197"/>
      <c r="AK250" s="185"/>
      <c r="AL250" s="187"/>
      <c r="AM250" s="195"/>
      <c r="AN250" s="183"/>
      <c r="AO250" s="190"/>
      <c r="AP250" s="190"/>
    </row>
    <row r="251" spans="1:73" ht="102" customHeight="1" x14ac:dyDescent="0.2">
      <c r="A251" s="214"/>
      <c r="B251" s="241"/>
      <c r="C251" s="241"/>
      <c r="D251" s="183"/>
      <c r="E251" s="181"/>
      <c r="F251" s="181"/>
      <c r="G251" s="181"/>
      <c r="H251" s="197"/>
      <c r="I251" s="242"/>
      <c r="J251" s="217"/>
      <c r="K251" s="183"/>
      <c r="L251" s="185"/>
      <c r="M251" s="205"/>
      <c r="N251" s="206"/>
      <c r="O251" s="203"/>
      <c r="P251" s="239">
        <f>IF(NOT(ISERROR(MATCH(O251,_xlfn.ANCHORARRAY(#REF!),0))),#REF!&amp;"Por favor no seleccionar los criterios de impacto",O251)</f>
        <v>0</v>
      </c>
      <c r="Q251" s="205"/>
      <c r="R251" s="206"/>
      <c r="S251" s="207"/>
      <c r="T251" s="152">
        <v>3</v>
      </c>
      <c r="U251" s="166" t="s">
        <v>729</v>
      </c>
      <c r="V251" s="153" t="str">
        <f>IF(OR(W251="Preventivo",W251="Detectivo"),"Probabilidad",IF(W251="Correctivo","Impacto",""))</f>
        <v>Probabilidad</v>
      </c>
      <c r="W251" s="154" t="s">
        <v>14</v>
      </c>
      <c r="X251" s="154" t="s">
        <v>9</v>
      </c>
      <c r="Y251" s="155" t="str">
        <f t="shared" si="484"/>
        <v>40%</v>
      </c>
      <c r="Z251" s="154" t="s">
        <v>18</v>
      </c>
      <c r="AA251" s="154" t="s">
        <v>21</v>
      </c>
      <c r="AB251" s="154" t="s">
        <v>112</v>
      </c>
      <c r="AC251" s="156">
        <f>IFERROR(IF(AND(V250="Probabilidad",V251="Probabilidad"),(AE250-(+AE250*Y251)),IF(AND(V250="Impacto",V251="Probabilidad"),(AE249-(+AE249*Y251)),IF(V251="Impacto",AE250,""))),"")</f>
        <v>0.15</v>
      </c>
      <c r="AD251" s="157" t="str">
        <f t="shared" si="485"/>
        <v>Muy Baja</v>
      </c>
      <c r="AE251" s="158">
        <f t="shared" si="486"/>
        <v>0.15</v>
      </c>
      <c r="AF251" s="157" t="str">
        <f t="shared" si="487"/>
        <v>Catastrófico</v>
      </c>
      <c r="AG251" s="158">
        <f>IFERROR(IF(AND(V250="Impacto",V251="Impacto"),(AG250-(+AG250*Y251)),IF(AND(V250="Probabilidad",V251="Impacto"),(AG249-(+AG249*Y251)),IF(V251="Probabilidad",AG250,""))),"")</f>
        <v>1</v>
      </c>
      <c r="AH251" s="159" t="str">
        <f t="shared" si="488"/>
        <v>Extremo</v>
      </c>
      <c r="AI251" s="161" t="s">
        <v>117</v>
      </c>
      <c r="AJ251" s="197"/>
      <c r="AK251" s="185"/>
      <c r="AL251" s="187"/>
      <c r="AM251" s="195"/>
      <c r="AN251" s="183"/>
      <c r="AO251" s="190"/>
      <c r="AP251" s="190"/>
    </row>
    <row r="252" spans="1:73" ht="15" customHeight="1" x14ac:dyDescent="0.2">
      <c r="A252" s="214"/>
      <c r="B252" s="241"/>
      <c r="C252" s="241"/>
      <c r="D252" s="183"/>
      <c r="E252" s="181"/>
      <c r="F252" s="181"/>
      <c r="G252" s="181"/>
      <c r="H252" s="197"/>
      <c r="I252" s="242"/>
      <c r="J252" s="217"/>
      <c r="K252" s="183"/>
      <c r="L252" s="185"/>
      <c r="M252" s="205"/>
      <c r="N252" s="206"/>
      <c r="O252" s="203"/>
      <c r="P252" s="239">
        <f>IF(NOT(ISERROR(MATCH(O252,_xlfn.ANCHORARRAY(#REF!),0))),#REF!&amp;"Por favor no seleccionar los criterios de impacto",O252)</f>
        <v>0</v>
      </c>
      <c r="Q252" s="205"/>
      <c r="R252" s="206"/>
      <c r="S252" s="207"/>
      <c r="T252" s="152">
        <v>4</v>
      </c>
      <c r="U252" s="160"/>
      <c r="V252" s="153" t="str">
        <f t="shared" ref="V252:V254" si="489">IF(OR(W252="Preventivo",W252="Detectivo"),"Probabilidad",IF(W252="Correctivo","Impacto",""))</f>
        <v/>
      </c>
      <c r="W252" s="154"/>
      <c r="X252" s="154"/>
      <c r="Y252" s="155" t="str">
        <f t="shared" si="484"/>
        <v/>
      </c>
      <c r="Z252" s="154"/>
      <c r="AA252" s="154"/>
      <c r="AB252" s="154"/>
      <c r="AC252" s="156" t="str">
        <f t="shared" ref="AC252:AC254" si="490">IFERROR(IF(AND(V251="Probabilidad",V252="Probabilidad"),(AE251-(+AE251*Y252)),IF(AND(V251="Impacto",V252="Probabilidad"),(AE250-(+AE250*Y252)),IF(V252="Impacto",AE251,""))),"")</f>
        <v/>
      </c>
      <c r="AD252" s="157" t="str">
        <f t="shared" si="485"/>
        <v/>
      </c>
      <c r="AE252" s="158" t="str">
        <f t="shared" si="486"/>
        <v/>
      </c>
      <c r="AF252" s="157" t="str">
        <f t="shared" si="487"/>
        <v/>
      </c>
      <c r="AG252" s="158" t="str">
        <f t="shared" ref="AG252:AG254" si="491">IFERROR(IF(AND(V251="Impacto",V252="Impacto"),(AG251-(+AG251*Y252)),IF(AND(V251="Probabilidad",V252="Impacto"),(AG250-(+AG250*Y252)),IF(V252="Probabilidad",AG251,""))),"")</f>
        <v/>
      </c>
      <c r="AH252" s="159" t="str">
        <f>IFERROR(IF(OR(AND(AD252="Muy Baja",AF252="Leve"),AND(AD252="Muy Baja",AF252="Menor"),AND(AD252="Baja",AF252="Leve")),"Bajo",IF(OR(AND(AD252="Muy baja",AF252="Moderado"),AND(AD252="Baja",AF252="Menor"),AND(AD252="Baja",AF252="Moderado"),AND(AD252="Media",AF252="Leve"),AND(AD252="Media",AF252="Menor"),AND(AD252="Media",AF252="Moderado"),AND(AD252="Alta",AF252="Leve"),AND(AD252="Alta",AF252="Menor")),"Moderado",IF(OR(AND(AD252="Muy Baja",AF252="Mayor"),AND(AD252="Baja",AF252="Mayor"),AND(AD252="Media",AF252="Mayor"),AND(AD252="Alta",AF252="Moderado"),AND(AD252="Alta",AF252="Mayor"),AND(AD252="Muy Alta",AF252="Leve"),AND(AD252="Muy Alta",AF252="Menor"),AND(AD252="Muy Alta",AF252="Moderado"),AND(AD252="Muy Alta",AF252="Mayor")),"Alto",IF(OR(AND(AD252="Muy Baja",AF252="Catastrófico"),AND(AD252="Baja",AF252="Catastrófico"),AND(AD252="Media",AF252="Catastrófico"),AND(AD252="Alta",AF252="Catastrófico"),AND(AD252="Muy Alta",AF252="Catastrófico")),"Extremo","")))),"")</f>
        <v/>
      </c>
      <c r="AI252" s="161"/>
      <c r="AJ252" s="197"/>
      <c r="AK252" s="185"/>
      <c r="AL252" s="187"/>
      <c r="AM252" s="195"/>
      <c r="AN252" s="183"/>
      <c r="AO252" s="190"/>
      <c r="AP252" s="190"/>
    </row>
    <row r="253" spans="1:73" ht="15" customHeight="1" x14ac:dyDescent="0.2">
      <c r="A253" s="214"/>
      <c r="B253" s="241"/>
      <c r="C253" s="241"/>
      <c r="D253" s="183"/>
      <c r="E253" s="181"/>
      <c r="F253" s="181"/>
      <c r="G253" s="181"/>
      <c r="H253" s="197"/>
      <c r="I253" s="242"/>
      <c r="J253" s="217"/>
      <c r="K253" s="183"/>
      <c r="L253" s="185"/>
      <c r="M253" s="205"/>
      <c r="N253" s="206"/>
      <c r="O253" s="203"/>
      <c r="P253" s="239">
        <f>IF(NOT(ISERROR(MATCH(O253,_xlfn.ANCHORARRAY(#REF!),0))),N256&amp;"Por favor no seleccionar los criterios de impacto",O253)</f>
        <v>0</v>
      </c>
      <c r="Q253" s="205"/>
      <c r="R253" s="206"/>
      <c r="S253" s="207"/>
      <c r="T253" s="152">
        <v>5</v>
      </c>
      <c r="U253" s="160"/>
      <c r="V253" s="153" t="str">
        <f t="shared" si="489"/>
        <v/>
      </c>
      <c r="W253" s="154"/>
      <c r="X253" s="154"/>
      <c r="Y253" s="155" t="str">
        <f t="shared" si="484"/>
        <v/>
      </c>
      <c r="Z253" s="154"/>
      <c r="AA253" s="154"/>
      <c r="AB253" s="154"/>
      <c r="AC253" s="156" t="str">
        <f t="shared" si="490"/>
        <v/>
      </c>
      <c r="AD253" s="157" t="str">
        <f t="shared" si="485"/>
        <v/>
      </c>
      <c r="AE253" s="158" t="str">
        <f t="shared" si="486"/>
        <v/>
      </c>
      <c r="AF253" s="157" t="str">
        <f t="shared" si="487"/>
        <v/>
      </c>
      <c r="AG253" s="158" t="str">
        <f t="shared" si="491"/>
        <v/>
      </c>
      <c r="AH253" s="159" t="str">
        <f t="shared" ref="AH253:AH254" si="492">IFERROR(IF(OR(AND(AD253="Muy Baja",AF253="Leve"),AND(AD253="Muy Baja",AF253="Menor"),AND(AD253="Baja",AF253="Leve")),"Bajo",IF(OR(AND(AD253="Muy baja",AF253="Moderado"),AND(AD253="Baja",AF253="Menor"),AND(AD253="Baja",AF253="Moderado"),AND(AD253="Media",AF253="Leve"),AND(AD253="Media",AF253="Menor"),AND(AD253="Media",AF253="Moderado"),AND(AD253="Alta",AF253="Leve"),AND(AD253="Alta",AF253="Menor")),"Moderado",IF(OR(AND(AD253="Muy Baja",AF253="Mayor"),AND(AD253="Baja",AF253="Mayor"),AND(AD253="Media",AF253="Mayor"),AND(AD253="Alta",AF253="Moderado"),AND(AD253="Alta",AF253="Mayor"),AND(AD253="Muy Alta",AF253="Leve"),AND(AD253="Muy Alta",AF253="Menor"),AND(AD253="Muy Alta",AF253="Moderado"),AND(AD253="Muy Alta",AF253="Mayor")),"Alto",IF(OR(AND(AD253="Muy Baja",AF253="Catastrófico"),AND(AD253="Baja",AF253="Catastrófico"),AND(AD253="Media",AF253="Catastrófico"),AND(AD253="Alta",AF253="Catastrófico"),AND(AD253="Muy Alta",AF253="Catastrófico")),"Extremo","")))),"")</f>
        <v/>
      </c>
      <c r="AI253" s="161"/>
      <c r="AJ253" s="197"/>
      <c r="AK253" s="185"/>
      <c r="AL253" s="187"/>
      <c r="AM253" s="195"/>
      <c r="AN253" s="183"/>
      <c r="AO253" s="190"/>
      <c r="AP253" s="190"/>
    </row>
    <row r="254" spans="1:73" ht="15" customHeight="1" x14ac:dyDescent="0.2">
      <c r="A254" s="214"/>
      <c r="B254" s="241"/>
      <c r="C254" s="241"/>
      <c r="D254" s="183"/>
      <c r="E254" s="181"/>
      <c r="F254" s="181"/>
      <c r="G254" s="181"/>
      <c r="H254" s="197"/>
      <c r="I254" s="242"/>
      <c r="J254" s="217"/>
      <c r="K254" s="183"/>
      <c r="L254" s="185"/>
      <c r="M254" s="205"/>
      <c r="N254" s="206"/>
      <c r="O254" s="203"/>
      <c r="P254" s="239">
        <f>IF(NOT(ISERROR(MATCH(O254,_xlfn.ANCHORARRAY(#REF!),0))),N257&amp;"Por favor no seleccionar los criterios de impacto",O254)</f>
        <v>0</v>
      </c>
      <c r="Q254" s="205"/>
      <c r="R254" s="206"/>
      <c r="S254" s="207"/>
      <c r="T254" s="152">
        <v>6</v>
      </c>
      <c r="U254" s="160"/>
      <c r="V254" s="153" t="str">
        <f t="shared" si="489"/>
        <v/>
      </c>
      <c r="W254" s="154"/>
      <c r="X254" s="154"/>
      <c r="Y254" s="155" t="str">
        <f t="shared" si="484"/>
        <v/>
      </c>
      <c r="Z254" s="154"/>
      <c r="AA254" s="154"/>
      <c r="AB254" s="154"/>
      <c r="AC254" s="156" t="str">
        <f t="shared" si="490"/>
        <v/>
      </c>
      <c r="AD254" s="157" t="str">
        <f t="shared" si="485"/>
        <v/>
      </c>
      <c r="AE254" s="158" t="str">
        <f t="shared" si="486"/>
        <v/>
      </c>
      <c r="AF254" s="157" t="str">
        <f t="shared" si="487"/>
        <v/>
      </c>
      <c r="AG254" s="158" t="str">
        <f t="shared" si="491"/>
        <v/>
      </c>
      <c r="AH254" s="159" t="str">
        <f t="shared" si="492"/>
        <v/>
      </c>
      <c r="AI254" s="161"/>
      <c r="AJ254" s="197"/>
      <c r="AK254" s="185"/>
      <c r="AL254" s="187"/>
      <c r="AM254" s="195"/>
      <c r="AN254" s="183"/>
      <c r="AO254" s="191"/>
      <c r="AP254" s="191"/>
    </row>
    <row r="255" spans="1:73" ht="114.75" customHeight="1" x14ac:dyDescent="0.2">
      <c r="A255" s="214">
        <v>44</v>
      </c>
      <c r="B255" s="243" t="s">
        <v>246</v>
      </c>
      <c r="C255" s="243" t="s">
        <v>703</v>
      </c>
      <c r="D255" s="184" t="s">
        <v>268</v>
      </c>
      <c r="E255" s="181" t="s">
        <v>709</v>
      </c>
      <c r="F255" s="181" t="s">
        <v>710</v>
      </c>
      <c r="G255" s="181" t="s">
        <v>711</v>
      </c>
      <c r="H255" s="197" t="s">
        <v>712</v>
      </c>
      <c r="I255" s="242" t="s">
        <v>713</v>
      </c>
      <c r="J255" s="217" t="s">
        <v>239</v>
      </c>
      <c r="K255" s="183" t="s">
        <v>243</v>
      </c>
      <c r="L255" s="185">
        <v>146000</v>
      </c>
      <c r="M255" s="205" t="str">
        <f t="shared" ref="M255" si="493">IF(L255&lt;=0,"",IF(L255&lt;=2,"Muy Baja",IF(L255&lt;=24,"Baja",IF(L255&lt;=500,"Media",IF(L255&lt;=5000,"Alta","Muy Alta")))))</f>
        <v>Muy Alta</v>
      </c>
      <c r="N255" s="206">
        <f t="shared" ref="N255" si="494">IF(M255="","",IF(M255="Muy Baja",0.2,IF(M255="Baja",0.4,IF(M255="Media",0.6,IF(M255="Alta",0.8,IF(M255="Muy Alta",1,))))))</f>
        <v>1</v>
      </c>
      <c r="O255" s="203" t="s">
        <v>136</v>
      </c>
      <c r="P255" s="239" t="str">
        <f>IF(NOT(ISERROR(MATCH(O255,'Tabla Impacto'!$B$221:$B$223,0))),'Tabla Impacto'!$F$223&amp;"Por favor no seleccionar los criterios de impacto(Afectación Económica o presupuestal y Pérdida Reputacional)",O255)</f>
        <v xml:space="preserve">     El riesgo afecta la imagen de la entidad a nivel nacional, con efecto publicitarios sostenible a nivel país</v>
      </c>
      <c r="Q255" s="205" t="str">
        <f>IF(OR(P255='Tabla Impacto'!$C$11,P255='Tabla Impacto'!$D$11),"Leve",IF(OR(P255='Tabla Impacto'!$C$12,P255='Tabla Impacto'!$D$12),"Menor",IF(OR(P255='Tabla Impacto'!$C$13,P255='Tabla Impacto'!$D$13),"Moderado",IF(OR(P255='Tabla Impacto'!$C$14,P255='Tabla Impacto'!$D$14),"Mayor",IF(OR(P255='Tabla Impacto'!$C$15,P255='Tabla Impacto'!$D$15),"Catastrófico","")))))</f>
        <v>Catastrófico</v>
      </c>
      <c r="R255" s="206">
        <f t="shared" ref="R255" si="495">IF(Q255="","",IF(Q255="Leve",0.2,IF(Q255="Menor",0.4,IF(Q255="Moderado",0.6,IF(Q255="Mayor",0.8,IF(Q255="Catastrófico",1,))))))</f>
        <v>1</v>
      </c>
      <c r="S255" s="207" t="str">
        <f t="shared" ref="S255" si="496">IF(OR(AND(M255="Muy Baja",Q255="Leve"),AND(M255="Muy Baja",Q255="Menor"),AND(M255="Baja",Q255="Leve")),"Bajo",IF(OR(AND(M255="Muy baja",Q255="Moderado"),AND(M255="Baja",Q255="Menor"),AND(M255="Baja",Q255="Moderado"),AND(M255="Media",Q255="Leve"),AND(M255="Media",Q255="Menor"),AND(M255="Media",Q255="Moderado"),AND(M255="Alta",Q255="Leve"),AND(M255="Alta",Q255="Menor")),"Moderado",IF(OR(AND(M255="Muy Baja",Q255="Mayor"),AND(M255="Baja",Q255="Mayor"),AND(M255="Media",Q255="Mayor"),AND(M255="Alta",Q255="Moderado"),AND(M255="Alta",Q255="Mayor"),AND(M255="Muy Alta",Q255="Leve"),AND(M255="Muy Alta",Q255="Menor"),AND(M255="Muy Alta",Q255="Moderado"),AND(M255="Muy Alta",Q255="Mayor")),"Alto",IF(OR(AND(M255="Muy Baja",Q255="Catastrófico"),AND(M255="Baja",Q255="Catastrófico"),AND(M255="Media",Q255="Catastrófico"),AND(M255="Alta",Q255="Catastrófico"),AND(M255="Muy Alta",Q255="Catastrófico")),"Extremo",""))))</f>
        <v>Extremo</v>
      </c>
      <c r="T255" s="152">
        <v>1</v>
      </c>
      <c r="U255" s="166" t="s">
        <v>730</v>
      </c>
      <c r="V255" s="153" t="str">
        <f>IF(OR(W255="Preventivo",W255="Detectivo"),"Probabilidad",IF(W255="Correctivo","Impacto",""))</f>
        <v>Probabilidad</v>
      </c>
      <c r="W255" s="154" t="s">
        <v>13</v>
      </c>
      <c r="X255" s="154" t="s">
        <v>8</v>
      </c>
      <c r="Y255" s="155" t="str">
        <f>IF(AND(W255="Preventivo",X255="Automático"),"50%",IF(AND(W255="Preventivo",X255="Manual"),"40%",IF(AND(W255="Detectivo",X255="Automático"),"40%",IF(AND(W255="Detectivo",X255="Manual"),"30%",IF(AND(W255="Correctivo",X255="Automático"),"35%",IF(AND(W255="Correctivo",X255="Manual"),"25%",""))))))</f>
        <v>40%</v>
      </c>
      <c r="Z255" s="154" t="s">
        <v>18</v>
      </c>
      <c r="AA255" s="154" t="s">
        <v>21</v>
      </c>
      <c r="AB255" s="154" t="s">
        <v>112</v>
      </c>
      <c r="AC255" s="156">
        <f>IFERROR(IF(V255="Probabilidad",(N255-(+N255*Y255)),IF(V255="Impacto",N255,"")),"")</f>
        <v>0.6</v>
      </c>
      <c r="AD255" s="157" t="str">
        <f>IFERROR(IF(AC255="","",IF(AC255&lt;=0.2,"Muy Baja",IF(AC255&lt;=0.4,"Baja",IF(AC255&lt;=0.6,"Media",IF(AC255&lt;=0.8,"Alta","Muy Alta"))))),"")</f>
        <v>Media</v>
      </c>
      <c r="AE255" s="158">
        <f>+AC255</f>
        <v>0.6</v>
      </c>
      <c r="AF255" s="157" t="str">
        <f>IFERROR(IF(AG255="","",IF(AG255&lt;=0.2,"Leve",IF(AG255&lt;=0.4,"Menor",IF(AG255&lt;=0.6,"Moderado",IF(AG255&lt;=0.8,"Mayor","Catastrófico"))))),"")</f>
        <v>Catastrófico</v>
      </c>
      <c r="AG255" s="158">
        <f>IFERROR(IF(V255="Impacto",(R255-(+R255*Y255)),IF(V255="Probabilidad",R255,"")),"")</f>
        <v>1</v>
      </c>
      <c r="AH255" s="159" t="str">
        <f>IFERROR(IF(OR(AND(AD255="Muy Baja",AF255="Leve"),AND(AD255="Muy Baja",AF255="Menor"),AND(AD255="Baja",AF255="Leve")),"Bajo",IF(OR(AND(AD255="Muy baja",AF255="Moderado"),AND(AD255="Baja",AF255="Menor"),AND(AD255="Baja",AF255="Moderado"),AND(AD255="Media",AF255="Leve"),AND(AD255="Media",AF255="Menor"),AND(AD255="Media",AF255="Moderado"),AND(AD255="Alta",AF255="Leve"),AND(AD255="Alta",AF255="Menor")),"Moderado",IF(OR(AND(AD255="Muy Baja",AF255="Mayor"),AND(AD255="Baja",AF255="Mayor"),AND(AD255="Media",AF255="Mayor"),AND(AD255="Alta",AF255="Moderado"),AND(AD255="Alta",AF255="Mayor"),AND(AD255="Muy Alta",AF255="Leve"),AND(AD255="Muy Alta",AF255="Menor"),AND(AD255="Muy Alta",AF255="Moderado"),AND(AD255="Muy Alta",AF255="Mayor")),"Alto",IF(OR(AND(AD255="Muy Baja",AF255="Catastrófico"),AND(AD255="Baja",AF255="Catastrófico"),AND(AD255="Media",AF255="Catastrófico"),AND(AD255="Alta",AF255="Catastrófico"),AND(AD255="Muy Alta",AF255="Catastrófico")),"Extremo","")))),"")</f>
        <v>Extremo</v>
      </c>
      <c r="AI255" s="161" t="s">
        <v>117</v>
      </c>
      <c r="AJ255" s="181" t="s">
        <v>738</v>
      </c>
      <c r="AK255" s="186" t="s">
        <v>186</v>
      </c>
      <c r="AL255" s="188">
        <v>45293</v>
      </c>
      <c r="AM255" s="194">
        <v>45657</v>
      </c>
      <c r="AN255" s="184" t="s">
        <v>284</v>
      </c>
      <c r="AO255" s="190" t="s">
        <v>269</v>
      </c>
      <c r="AP255" s="190" t="s">
        <v>742</v>
      </c>
      <c r="AQ255" s="10"/>
      <c r="AR255" s="10"/>
      <c r="AS255" s="10"/>
      <c r="AT255" s="10"/>
      <c r="AU255" s="10"/>
      <c r="AV255" s="10"/>
      <c r="AW255" s="10"/>
      <c r="AX255" s="10"/>
      <c r="AY255" s="10"/>
      <c r="AZ255" s="10"/>
      <c r="BA255" s="10"/>
      <c r="BB255" s="10"/>
      <c r="BC255" s="10"/>
      <c r="BD255" s="10"/>
      <c r="BE255" s="10"/>
      <c r="BF255" s="10"/>
      <c r="BG255" s="10"/>
      <c r="BH255" s="10"/>
      <c r="BI255" s="10"/>
      <c r="BJ255" s="10"/>
      <c r="BK255" s="10"/>
      <c r="BL255" s="10"/>
      <c r="BM255" s="10"/>
      <c r="BN255" s="10"/>
      <c r="BO255" s="10"/>
      <c r="BP255" s="10"/>
      <c r="BQ255" s="10"/>
      <c r="BR255" s="10"/>
      <c r="BS255" s="10"/>
      <c r="BT255" s="10"/>
      <c r="BU255" s="10"/>
    </row>
    <row r="256" spans="1:73" ht="104.25" customHeight="1" x14ac:dyDescent="0.2">
      <c r="A256" s="214"/>
      <c r="B256" s="241"/>
      <c r="C256" s="241"/>
      <c r="D256" s="183"/>
      <c r="E256" s="181"/>
      <c r="F256" s="181"/>
      <c r="G256" s="181"/>
      <c r="H256" s="197"/>
      <c r="I256" s="242"/>
      <c r="J256" s="217"/>
      <c r="K256" s="183"/>
      <c r="L256" s="185"/>
      <c r="M256" s="205"/>
      <c r="N256" s="206"/>
      <c r="O256" s="203"/>
      <c r="P256" s="239">
        <f>IF(NOT(ISERROR(MATCH(O256,_xlfn.ANCHORARRAY(#REF!),0))),#REF!&amp;"Por favor no seleccionar los criterios de impacto",O256)</f>
        <v>0</v>
      </c>
      <c r="Q256" s="205"/>
      <c r="R256" s="206"/>
      <c r="S256" s="207"/>
      <c r="T256" s="152">
        <v>2</v>
      </c>
      <c r="U256" s="166" t="s">
        <v>731</v>
      </c>
      <c r="V256" s="153" t="str">
        <f>IF(OR(W256="Preventivo",W256="Detectivo"),"Probabilidad",IF(W256="Correctivo","Impacto",""))</f>
        <v>Probabilidad</v>
      </c>
      <c r="W256" s="154" t="s">
        <v>13</v>
      </c>
      <c r="X256" s="154" t="s">
        <v>8</v>
      </c>
      <c r="Y256" s="155" t="str">
        <f t="shared" ref="Y256:Y260" si="497">IF(AND(W256="Preventivo",X256="Automático"),"50%",IF(AND(W256="Preventivo",X256="Manual"),"40%",IF(AND(W256="Detectivo",X256="Automático"),"40%",IF(AND(W256="Detectivo",X256="Manual"),"30%",IF(AND(W256="Correctivo",X256="Automático"),"35%",IF(AND(W256="Correctivo",X256="Manual"),"25%",""))))))</f>
        <v>40%</v>
      </c>
      <c r="Z256" s="154" t="s">
        <v>18</v>
      </c>
      <c r="AA256" s="154" t="s">
        <v>21</v>
      </c>
      <c r="AB256" s="154" t="s">
        <v>112</v>
      </c>
      <c r="AC256" s="156">
        <f>IFERROR(IF(AND(V255="Probabilidad",V256="Probabilidad"),(AE255-(+AE255*Y256)),IF(V256="Probabilidad",(N255-(+N255*Y256)),IF(V256="Impacto",AE255,""))),"")</f>
        <v>0.36</v>
      </c>
      <c r="AD256" s="157" t="str">
        <f t="shared" ref="AD256:AD260" si="498">IFERROR(IF(AC256="","",IF(AC256&lt;=0.2,"Muy Baja",IF(AC256&lt;=0.4,"Baja",IF(AC256&lt;=0.6,"Media",IF(AC256&lt;=0.8,"Alta","Muy Alta"))))),"")</f>
        <v>Baja</v>
      </c>
      <c r="AE256" s="158">
        <f t="shared" ref="AE256:AE260" si="499">+AC256</f>
        <v>0.36</v>
      </c>
      <c r="AF256" s="157" t="str">
        <f t="shared" ref="AF256:AF260" si="500">IFERROR(IF(AG256="","",IF(AG256&lt;=0.2,"Leve",IF(AG256&lt;=0.4,"Menor",IF(AG256&lt;=0.6,"Moderado",IF(AG256&lt;=0.8,"Mayor","Catastrófico"))))),"")</f>
        <v>Catastrófico</v>
      </c>
      <c r="AG256" s="158">
        <f>IFERROR(IF(AND(V255="Impacto",V256="Impacto"),(AG255-(+AG255*Y256)),IF(V256="Impacto",(R255-(+R255*Y256)),IF(V256="Probabilidad",AG255,""))),"")</f>
        <v>1</v>
      </c>
      <c r="AH256" s="159" t="str">
        <f t="shared" ref="AH256:AH257" si="501">IFERROR(IF(OR(AND(AD256="Muy Baja",AF256="Leve"),AND(AD256="Muy Baja",AF256="Menor"),AND(AD256="Baja",AF256="Leve")),"Bajo",IF(OR(AND(AD256="Muy baja",AF256="Moderado"),AND(AD256="Baja",AF256="Menor"),AND(AD256="Baja",AF256="Moderado"),AND(AD256="Media",AF256="Leve"),AND(AD256="Media",AF256="Menor"),AND(AD256="Media",AF256="Moderado"),AND(AD256="Alta",AF256="Leve"),AND(AD256="Alta",AF256="Menor")),"Moderado",IF(OR(AND(AD256="Muy Baja",AF256="Mayor"),AND(AD256="Baja",AF256="Mayor"),AND(AD256="Media",AF256="Mayor"),AND(AD256="Alta",AF256="Moderado"),AND(AD256="Alta",AF256="Mayor"),AND(AD256="Muy Alta",AF256="Leve"),AND(AD256="Muy Alta",AF256="Menor"),AND(AD256="Muy Alta",AF256="Moderado"),AND(AD256="Muy Alta",AF256="Mayor")),"Alto",IF(OR(AND(AD256="Muy Baja",AF256="Catastrófico"),AND(AD256="Baja",AF256="Catastrófico"),AND(AD256="Media",AF256="Catastrófico"),AND(AD256="Alta",AF256="Catastrófico"),AND(AD256="Muy Alta",AF256="Catastrófico")),"Extremo","")))),"")</f>
        <v>Extremo</v>
      </c>
      <c r="AI256" s="161" t="s">
        <v>117</v>
      </c>
      <c r="AJ256" s="181"/>
      <c r="AK256" s="185"/>
      <c r="AL256" s="187"/>
      <c r="AM256" s="195"/>
      <c r="AN256" s="183"/>
      <c r="AO256" s="190"/>
      <c r="AP256" s="190"/>
    </row>
    <row r="257" spans="1:73" ht="15" customHeight="1" x14ac:dyDescent="0.2">
      <c r="A257" s="214"/>
      <c r="B257" s="241"/>
      <c r="C257" s="241"/>
      <c r="D257" s="183"/>
      <c r="E257" s="181"/>
      <c r="F257" s="181"/>
      <c r="G257" s="181"/>
      <c r="H257" s="197"/>
      <c r="I257" s="242"/>
      <c r="J257" s="217"/>
      <c r="K257" s="183"/>
      <c r="L257" s="185"/>
      <c r="M257" s="205"/>
      <c r="N257" s="206"/>
      <c r="O257" s="203"/>
      <c r="P257" s="239">
        <f>IF(NOT(ISERROR(MATCH(O257,_xlfn.ANCHORARRAY(#REF!),0))),#REF!&amp;"Por favor no seleccionar los criterios de impacto",O257)</f>
        <v>0</v>
      </c>
      <c r="Q257" s="205"/>
      <c r="R257" s="206"/>
      <c r="S257" s="207"/>
      <c r="T257" s="152">
        <v>3</v>
      </c>
      <c r="U257" s="166"/>
      <c r="V257" s="153" t="str">
        <f>IF(OR(W257="Preventivo",W257="Detectivo"),"Probabilidad",IF(W257="Correctivo","Impacto",""))</f>
        <v/>
      </c>
      <c r="W257" s="154"/>
      <c r="X257" s="154"/>
      <c r="Y257" s="155" t="str">
        <f t="shared" si="497"/>
        <v/>
      </c>
      <c r="Z257" s="154"/>
      <c r="AA257" s="154"/>
      <c r="AB257" s="154"/>
      <c r="AC257" s="156" t="str">
        <f>IFERROR(IF(AND(V256="Probabilidad",V257="Probabilidad"),(AE256-(+AE256*Y257)),IF(AND(V256="Impacto",V257="Probabilidad"),(AE255-(+AE255*Y257)),IF(V257="Impacto",AE256,""))),"")</f>
        <v/>
      </c>
      <c r="AD257" s="157" t="str">
        <f t="shared" si="498"/>
        <v/>
      </c>
      <c r="AE257" s="158" t="str">
        <f t="shared" si="499"/>
        <v/>
      </c>
      <c r="AF257" s="157" t="str">
        <f t="shared" si="500"/>
        <v/>
      </c>
      <c r="AG257" s="158" t="str">
        <f>IFERROR(IF(AND(V256="Impacto",V257="Impacto"),(AG256-(+AG256*Y257)),IF(AND(V256="Probabilidad",V257="Impacto"),(AG255-(+AG255*Y257)),IF(V257="Probabilidad",AG256,""))),"")</f>
        <v/>
      </c>
      <c r="AH257" s="159" t="str">
        <f t="shared" si="501"/>
        <v/>
      </c>
      <c r="AI257" s="161"/>
      <c r="AJ257" s="181"/>
      <c r="AK257" s="185"/>
      <c r="AL257" s="187"/>
      <c r="AM257" s="195"/>
      <c r="AN257" s="183"/>
      <c r="AO257" s="190"/>
      <c r="AP257" s="190"/>
    </row>
    <row r="258" spans="1:73" ht="15" customHeight="1" x14ac:dyDescent="0.2">
      <c r="A258" s="214"/>
      <c r="B258" s="241"/>
      <c r="C258" s="241"/>
      <c r="D258" s="183"/>
      <c r="E258" s="181"/>
      <c r="F258" s="181"/>
      <c r="G258" s="181"/>
      <c r="H258" s="197"/>
      <c r="I258" s="242"/>
      <c r="J258" s="217"/>
      <c r="K258" s="183"/>
      <c r="L258" s="185"/>
      <c r="M258" s="205"/>
      <c r="N258" s="206"/>
      <c r="O258" s="203"/>
      <c r="P258" s="239">
        <f>IF(NOT(ISERROR(MATCH(O258,_xlfn.ANCHORARRAY(#REF!),0))),#REF!&amp;"Por favor no seleccionar los criterios de impacto",O258)</f>
        <v>0</v>
      </c>
      <c r="Q258" s="205"/>
      <c r="R258" s="206"/>
      <c r="S258" s="207"/>
      <c r="T258" s="152">
        <v>4</v>
      </c>
      <c r="U258" s="160"/>
      <c r="V258" s="153" t="str">
        <f t="shared" ref="V258:V260" si="502">IF(OR(W258="Preventivo",W258="Detectivo"),"Probabilidad",IF(W258="Correctivo","Impacto",""))</f>
        <v/>
      </c>
      <c r="W258" s="154"/>
      <c r="X258" s="154"/>
      <c r="Y258" s="155" t="str">
        <f t="shared" si="497"/>
        <v/>
      </c>
      <c r="Z258" s="154"/>
      <c r="AA258" s="154"/>
      <c r="AB258" s="154"/>
      <c r="AC258" s="156" t="str">
        <f t="shared" ref="AC258:AC260" si="503">IFERROR(IF(AND(V257="Probabilidad",V258="Probabilidad"),(AE257-(+AE257*Y258)),IF(AND(V257="Impacto",V258="Probabilidad"),(AE256-(+AE256*Y258)),IF(V258="Impacto",AE257,""))),"")</f>
        <v/>
      </c>
      <c r="AD258" s="157" t="str">
        <f t="shared" si="498"/>
        <v/>
      </c>
      <c r="AE258" s="158" t="str">
        <f t="shared" si="499"/>
        <v/>
      </c>
      <c r="AF258" s="157" t="str">
        <f t="shared" si="500"/>
        <v/>
      </c>
      <c r="AG258" s="158" t="str">
        <f t="shared" ref="AG258:AG260" si="504">IFERROR(IF(AND(V257="Impacto",V258="Impacto"),(AG257-(+AG257*Y258)),IF(AND(V257="Probabilidad",V258="Impacto"),(AG256-(+AG256*Y258)),IF(V258="Probabilidad",AG257,""))),"")</f>
        <v/>
      </c>
      <c r="AH258" s="159" t="str">
        <f>IFERROR(IF(OR(AND(AD258="Muy Baja",AF258="Leve"),AND(AD258="Muy Baja",AF258="Menor"),AND(AD258="Baja",AF258="Leve")),"Bajo",IF(OR(AND(AD258="Muy baja",AF258="Moderado"),AND(AD258="Baja",AF258="Menor"),AND(AD258="Baja",AF258="Moderado"),AND(AD258="Media",AF258="Leve"),AND(AD258="Media",AF258="Menor"),AND(AD258="Media",AF258="Moderado"),AND(AD258="Alta",AF258="Leve"),AND(AD258="Alta",AF258="Menor")),"Moderado",IF(OR(AND(AD258="Muy Baja",AF258="Mayor"),AND(AD258="Baja",AF258="Mayor"),AND(AD258="Media",AF258="Mayor"),AND(AD258="Alta",AF258="Moderado"),AND(AD258="Alta",AF258="Mayor"),AND(AD258="Muy Alta",AF258="Leve"),AND(AD258="Muy Alta",AF258="Menor"),AND(AD258="Muy Alta",AF258="Moderado"),AND(AD258="Muy Alta",AF258="Mayor")),"Alto",IF(OR(AND(AD258="Muy Baja",AF258="Catastrófico"),AND(AD258="Baja",AF258="Catastrófico"),AND(AD258="Media",AF258="Catastrófico"),AND(AD258="Alta",AF258="Catastrófico"),AND(AD258="Muy Alta",AF258="Catastrófico")),"Extremo","")))),"")</f>
        <v/>
      </c>
      <c r="AI258" s="161"/>
      <c r="AJ258" s="181"/>
      <c r="AK258" s="185"/>
      <c r="AL258" s="187"/>
      <c r="AM258" s="195"/>
      <c r="AN258" s="183"/>
      <c r="AO258" s="190"/>
      <c r="AP258" s="190"/>
    </row>
    <row r="259" spans="1:73" ht="15" customHeight="1" x14ac:dyDescent="0.2">
      <c r="A259" s="214"/>
      <c r="B259" s="241"/>
      <c r="C259" s="241"/>
      <c r="D259" s="183"/>
      <c r="E259" s="181"/>
      <c r="F259" s="181"/>
      <c r="G259" s="181"/>
      <c r="H259" s="197"/>
      <c r="I259" s="242"/>
      <c r="J259" s="217"/>
      <c r="K259" s="183"/>
      <c r="L259" s="185"/>
      <c r="M259" s="205"/>
      <c r="N259" s="206"/>
      <c r="O259" s="203"/>
      <c r="P259" s="239">
        <f>IF(NOT(ISERROR(MATCH(O259,_xlfn.ANCHORARRAY(#REF!),0))),N262&amp;"Por favor no seleccionar los criterios de impacto",O259)</f>
        <v>0</v>
      </c>
      <c r="Q259" s="205"/>
      <c r="R259" s="206"/>
      <c r="S259" s="207"/>
      <c r="T259" s="152">
        <v>5</v>
      </c>
      <c r="U259" s="160"/>
      <c r="V259" s="153" t="str">
        <f t="shared" si="502"/>
        <v/>
      </c>
      <c r="W259" s="154"/>
      <c r="X259" s="154"/>
      <c r="Y259" s="155" t="str">
        <f t="shared" si="497"/>
        <v/>
      </c>
      <c r="Z259" s="154"/>
      <c r="AA259" s="154"/>
      <c r="AB259" s="154"/>
      <c r="AC259" s="156" t="str">
        <f t="shared" si="503"/>
        <v/>
      </c>
      <c r="AD259" s="157" t="str">
        <f t="shared" si="498"/>
        <v/>
      </c>
      <c r="AE259" s="158" t="str">
        <f t="shared" si="499"/>
        <v/>
      </c>
      <c r="AF259" s="157" t="str">
        <f t="shared" si="500"/>
        <v/>
      </c>
      <c r="AG259" s="158" t="str">
        <f t="shared" si="504"/>
        <v/>
      </c>
      <c r="AH259" s="159" t="str">
        <f t="shared" ref="AH259:AH260" si="505">IFERROR(IF(OR(AND(AD259="Muy Baja",AF259="Leve"),AND(AD259="Muy Baja",AF259="Menor"),AND(AD259="Baja",AF259="Leve")),"Bajo",IF(OR(AND(AD259="Muy baja",AF259="Moderado"),AND(AD259="Baja",AF259="Menor"),AND(AD259="Baja",AF259="Moderado"),AND(AD259="Media",AF259="Leve"),AND(AD259="Media",AF259="Menor"),AND(AD259="Media",AF259="Moderado"),AND(AD259="Alta",AF259="Leve"),AND(AD259="Alta",AF259="Menor")),"Moderado",IF(OR(AND(AD259="Muy Baja",AF259="Mayor"),AND(AD259="Baja",AF259="Mayor"),AND(AD259="Media",AF259="Mayor"),AND(AD259="Alta",AF259="Moderado"),AND(AD259="Alta",AF259="Mayor"),AND(AD259="Muy Alta",AF259="Leve"),AND(AD259="Muy Alta",AF259="Menor"),AND(AD259="Muy Alta",AF259="Moderado"),AND(AD259="Muy Alta",AF259="Mayor")),"Alto",IF(OR(AND(AD259="Muy Baja",AF259="Catastrófico"),AND(AD259="Baja",AF259="Catastrófico"),AND(AD259="Media",AF259="Catastrófico"),AND(AD259="Alta",AF259="Catastrófico"),AND(AD259="Muy Alta",AF259="Catastrófico")),"Extremo","")))),"")</f>
        <v/>
      </c>
      <c r="AI259" s="161"/>
      <c r="AJ259" s="181"/>
      <c r="AK259" s="185"/>
      <c r="AL259" s="187"/>
      <c r="AM259" s="195"/>
      <c r="AN259" s="183"/>
      <c r="AO259" s="190"/>
      <c r="AP259" s="190"/>
    </row>
    <row r="260" spans="1:73" ht="15" customHeight="1" x14ac:dyDescent="0.2">
      <c r="A260" s="214"/>
      <c r="B260" s="241"/>
      <c r="C260" s="241"/>
      <c r="D260" s="183"/>
      <c r="E260" s="181"/>
      <c r="F260" s="181"/>
      <c r="G260" s="181"/>
      <c r="H260" s="197"/>
      <c r="I260" s="242"/>
      <c r="J260" s="217"/>
      <c r="K260" s="183"/>
      <c r="L260" s="185"/>
      <c r="M260" s="205"/>
      <c r="N260" s="206"/>
      <c r="O260" s="203"/>
      <c r="P260" s="239">
        <f>IF(NOT(ISERROR(MATCH(O260,_xlfn.ANCHORARRAY(#REF!),0))),N263&amp;"Por favor no seleccionar los criterios de impacto",O260)</f>
        <v>0</v>
      </c>
      <c r="Q260" s="205"/>
      <c r="R260" s="206"/>
      <c r="S260" s="207"/>
      <c r="T260" s="152">
        <v>6</v>
      </c>
      <c r="U260" s="160"/>
      <c r="V260" s="153" t="str">
        <f t="shared" si="502"/>
        <v/>
      </c>
      <c r="W260" s="154"/>
      <c r="X260" s="154"/>
      <c r="Y260" s="155" t="str">
        <f t="shared" si="497"/>
        <v/>
      </c>
      <c r="Z260" s="154"/>
      <c r="AA260" s="154"/>
      <c r="AB260" s="154"/>
      <c r="AC260" s="156" t="str">
        <f t="shared" si="503"/>
        <v/>
      </c>
      <c r="AD260" s="157" t="str">
        <f t="shared" si="498"/>
        <v/>
      </c>
      <c r="AE260" s="158" t="str">
        <f t="shared" si="499"/>
        <v/>
      </c>
      <c r="AF260" s="157" t="str">
        <f t="shared" si="500"/>
        <v/>
      </c>
      <c r="AG260" s="158" t="str">
        <f t="shared" si="504"/>
        <v/>
      </c>
      <c r="AH260" s="159" t="str">
        <f t="shared" si="505"/>
        <v/>
      </c>
      <c r="AI260" s="161"/>
      <c r="AJ260" s="181"/>
      <c r="AK260" s="185"/>
      <c r="AL260" s="187"/>
      <c r="AM260" s="195"/>
      <c r="AN260" s="183"/>
      <c r="AO260" s="191"/>
      <c r="AP260" s="191"/>
    </row>
    <row r="261" spans="1:73" ht="127.5" customHeight="1" x14ac:dyDescent="0.2">
      <c r="A261" s="214">
        <v>45</v>
      </c>
      <c r="B261" s="243" t="s">
        <v>246</v>
      </c>
      <c r="C261" s="243" t="s">
        <v>703</v>
      </c>
      <c r="D261" s="184" t="s">
        <v>268</v>
      </c>
      <c r="E261" s="181" t="s">
        <v>714</v>
      </c>
      <c r="F261" s="181" t="s">
        <v>715</v>
      </c>
      <c r="G261" s="181" t="s">
        <v>716</v>
      </c>
      <c r="H261" s="181" t="s">
        <v>717</v>
      </c>
      <c r="I261" s="242" t="s">
        <v>718</v>
      </c>
      <c r="J261" s="217" t="s">
        <v>240</v>
      </c>
      <c r="K261" s="183" t="s">
        <v>243</v>
      </c>
      <c r="L261" s="185">
        <v>8760</v>
      </c>
      <c r="M261" s="205" t="str">
        <f t="shared" ref="M261" si="506">IF(L261&lt;=0,"",IF(L261&lt;=2,"Muy Baja",IF(L261&lt;=24,"Baja",IF(L261&lt;=500,"Media",IF(L261&lt;=5000,"Alta","Muy Alta")))))</f>
        <v>Muy Alta</v>
      </c>
      <c r="N261" s="206">
        <f t="shared" ref="N261" si="507">IF(M261="","",IF(M261="Muy Baja",0.2,IF(M261="Baja",0.4,IF(M261="Media",0.6,IF(M261="Alta",0.8,IF(M261="Muy Alta",1,))))))</f>
        <v>1</v>
      </c>
      <c r="O261" s="203" t="s">
        <v>136</v>
      </c>
      <c r="P261" s="239" t="str">
        <f>IF(NOT(ISERROR(MATCH(O261,'Tabla Impacto'!$B$221:$B$223,0))),'Tabla Impacto'!$F$223&amp;"Por favor no seleccionar los criterios de impacto(Afectación Económica o presupuestal y Pérdida Reputacional)",O261)</f>
        <v xml:space="preserve">     El riesgo afecta la imagen de la entidad a nivel nacional, con efecto publicitarios sostenible a nivel país</v>
      </c>
      <c r="Q261" s="205" t="str">
        <f>IF(OR(P261='Tabla Impacto'!$C$11,P261='Tabla Impacto'!$D$11),"Leve",IF(OR(P261='Tabla Impacto'!$C$12,P261='Tabla Impacto'!$D$12),"Menor",IF(OR(P261='Tabla Impacto'!$C$13,P261='Tabla Impacto'!$D$13),"Moderado",IF(OR(P261='Tabla Impacto'!$C$14,P261='Tabla Impacto'!$D$14),"Mayor",IF(OR(P261='Tabla Impacto'!$C$15,P261='Tabla Impacto'!$D$15),"Catastrófico","")))))</f>
        <v>Catastrófico</v>
      </c>
      <c r="R261" s="206">
        <f t="shared" ref="R261" si="508">IF(Q261="","",IF(Q261="Leve",0.2,IF(Q261="Menor",0.4,IF(Q261="Moderado",0.6,IF(Q261="Mayor",0.8,IF(Q261="Catastrófico",1,))))))</f>
        <v>1</v>
      </c>
      <c r="S261" s="207" t="str">
        <f t="shared" ref="S261" si="509">IF(OR(AND(M261="Muy Baja",Q261="Leve"),AND(M261="Muy Baja",Q261="Menor"),AND(M261="Baja",Q261="Leve")),"Bajo",IF(OR(AND(M261="Muy baja",Q261="Moderado"),AND(M261="Baja",Q261="Menor"),AND(M261="Baja",Q261="Moderado"),AND(M261="Media",Q261="Leve"),AND(M261="Media",Q261="Menor"),AND(M261="Media",Q261="Moderado"),AND(M261="Alta",Q261="Leve"),AND(M261="Alta",Q261="Menor")),"Moderado",IF(OR(AND(M261="Muy Baja",Q261="Mayor"),AND(M261="Baja",Q261="Mayor"),AND(M261="Media",Q261="Mayor"),AND(M261="Alta",Q261="Moderado"),AND(M261="Alta",Q261="Mayor"),AND(M261="Muy Alta",Q261="Leve"),AND(M261="Muy Alta",Q261="Menor"),AND(M261="Muy Alta",Q261="Moderado"),AND(M261="Muy Alta",Q261="Mayor")),"Alto",IF(OR(AND(M261="Muy Baja",Q261="Catastrófico"),AND(M261="Baja",Q261="Catastrófico"),AND(M261="Media",Q261="Catastrófico"),AND(M261="Alta",Q261="Catastrófico"),AND(M261="Muy Alta",Q261="Catastrófico")),"Extremo",""))))</f>
        <v>Extremo</v>
      </c>
      <c r="T261" s="152">
        <v>1</v>
      </c>
      <c r="U261" s="166" t="s">
        <v>728</v>
      </c>
      <c r="V261" s="153" t="str">
        <f>IF(OR(W261="Preventivo",W261="Detectivo"),"Probabilidad",IF(W261="Correctivo","Impacto",""))</f>
        <v>Probabilidad</v>
      </c>
      <c r="W261" s="154" t="s">
        <v>13</v>
      </c>
      <c r="X261" s="154" t="s">
        <v>9</v>
      </c>
      <c r="Y261" s="155" t="str">
        <f>IF(AND(W261="Preventivo",X261="Automático"),"50%",IF(AND(W261="Preventivo",X261="Manual"),"40%",IF(AND(W261="Detectivo",X261="Automático"),"40%",IF(AND(W261="Detectivo",X261="Manual"),"30%",IF(AND(W261="Correctivo",X261="Automático"),"35%",IF(AND(W261="Correctivo",X261="Manual"),"25%",""))))))</f>
        <v>50%</v>
      </c>
      <c r="Z261" s="154" t="s">
        <v>18</v>
      </c>
      <c r="AA261" s="154" t="s">
        <v>21</v>
      </c>
      <c r="AB261" s="154" t="s">
        <v>112</v>
      </c>
      <c r="AC261" s="156">
        <f>IFERROR(IF(V261="Probabilidad",(N261-(+N261*Y261)),IF(V261="Impacto",N261,"")),"")</f>
        <v>0.5</v>
      </c>
      <c r="AD261" s="157" t="str">
        <f>IFERROR(IF(AC261="","",IF(AC261&lt;=0.2,"Muy Baja",IF(AC261&lt;=0.4,"Baja",IF(AC261&lt;=0.6,"Media",IF(AC261&lt;=0.8,"Alta","Muy Alta"))))),"")</f>
        <v>Media</v>
      </c>
      <c r="AE261" s="158">
        <f>+AC261</f>
        <v>0.5</v>
      </c>
      <c r="AF261" s="157" t="str">
        <f>IFERROR(IF(AG261="","",IF(AG261&lt;=0.2,"Leve",IF(AG261&lt;=0.4,"Menor",IF(AG261&lt;=0.6,"Moderado",IF(AG261&lt;=0.8,"Mayor","Catastrófico"))))),"")</f>
        <v>Catastrófico</v>
      </c>
      <c r="AG261" s="158">
        <f>IFERROR(IF(V261="Impacto",(R261-(+R261*Y261)),IF(V261="Probabilidad",R261,"")),"")</f>
        <v>1</v>
      </c>
      <c r="AH261" s="159" t="str">
        <f>IFERROR(IF(OR(AND(AD261="Muy Baja",AF261="Leve"),AND(AD261="Muy Baja",AF261="Menor"),AND(AD261="Baja",AF261="Leve")),"Bajo",IF(OR(AND(AD261="Muy baja",AF261="Moderado"),AND(AD261="Baja",AF261="Menor"),AND(AD261="Baja",AF261="Moderado"),AND(AD261="Media",AF261="Leve"),AND(AD261="Media",AF261="Menor"),AND(AD261="Media",AF261="Moderado"),AND(AD261="Alta",AF261="Leve"),AND(AD261="Alta",AF261="Menor")),"Moderado",IF(OR(AND(AD261="Muy Baja",AF261="Mayor"),AND(AD261="Baja",AF261="Mayor"),AND(AD261="Media",AF261="Mayor"),AND(AD261="Alta",AF261="Moderado"),AND(AD261="Alta",AF261="Mayor"),AND(AD261="Muy Alta",AF261="Leve"),AND(AD261="Muy Alta",AF261="Menor"),AND(AD261="Muy Alta",AF261="Moderado"),AND(AD261="Muy Alta",AF261="Mayor")),"Alto",IF(OR(AND(AD261="Muy Baja",AF261="Catastrófico"),AND(AD261="Baja",AF261="Catastrófico"),AND(AD261="Media",AF261="Catastrófico"),AND(AD261="Alta",AF261="Catastrófico"),AND(AD261="Muy Alta",AF261="Catastrófico")),"Extremo","")))),"")</f>
        <v>Extremo</v>
      </c>
      <c r="AI261" s="161" t="s">
        <v>117</v>
      </c>
      <c r="AJ261" s="178" t="s">
        <v>739</v>
      </c>
      <c r="AK261" s="186" t="s">
        <v>186</v>
      </c>
      <c r="AL261" s="188">
        <v>45293</v>
      </c>
      <c r="AM261" s="194">
        <v>45657</v>
      </c>
      <c r="AN261" s="184" t="s">
        <v>284</v>
      </c>
      <c r="AO261" s="190" t="s">
        <v>269</v>
      </c>
      <c r="AP261" s="190" t="s">
        <v>742</v>
      </c>
      <c r="AQ261" s="10"/>
      <c r="AR261" s="10"/>
      <c r="AS261" s="10"/>
      <c r="AT261" s="10"/>
      <c r="AU261" s="10"/>
      <c r="AV261" s="10"/>
      <c r="AW261" s="10"/>
      <c r="AX261" s="10"/>
      <c r="AY261" s="10"/>
      <c r="AZ261" s="10"/>
      <c r="BA261" s="10"/>
      <c r="BB261" s="10"/>
      <c r="BC261" s="10"/>
      <c r="BD261" s="10"/>
      <c r="BE261" s="10"/>
      <c r="BF261" s="10"/>
      <c r="BG261" s="10"/>
      <c r="BH261" s="10"/>
      <c r="BI261" s="10"/>
      <c r="BJ261" s="10"/>
      <c r="BK261" s="10"/>
      <c r="BL261" s="10"/>
      <c r="BM261" s="10"/>
      <c r="BN261" s="10"/>
      <c r="BO261" s="10"/>
      <c r="BP261" s="10"/>
      <c r="BQ261" s="10"/>
      <c r="BR261" s="10"/>
      <c r="BS261" s="10"/>
      <c r="BT261" s="10"/>
      <c r="BU261" s="10"/>
    </row>
    <row r="262" spans="1:73" ht="88.5" customHeight="1" x14ac:dyDescent="0.2">
      <c r="A262" s="214"/>
      <c r="B262" s="241"/>
      <c r="C262" s="241"/>
      <c r="D262" s="183"/>
      <c r="E262" s="181"/>
      <c r="F262" s="181"/>
      <c r="G262" s="181"/>
      <c r="H262" s="181"/>
      <c r="I262" s="242"/>
      <c r="J262" s="217"/>
      <c r="K262" s="183"/>
      <c r="L262" s="185"/>
      <c r="M262" s="205"/>
      <c r="N262" s="206"/>
      <c r="O262" s="203"/>
      <c r="P262" s="239">
        <f>IF(NOT(ISERROR(MATCH(O262,_xlfn.ANCHORARRAY(#REF!),0))),#REF!&amp;"Por favor no seleccionar los criterios de impacto",O262)</f>
        <v>0</v>
      </c>
      <c r="Q262" s="205"/>
      <c r="R262" s="206"/>
      <c r="S262" s="207"/>
      <c r="T262" s="152">
        <v>2</v>
      </c>
      <c r="U262" s="166" t="s">
        <v>732</v>
      </c>
      <c r="V262" s="153" t="str">
        <f>IF(OR(W262="Preventivo",W262="Detectivo"),"Probabilidad",IF(W262="Correctivo","Impacto",""))</f>
        <v>Probabilidad</v>
      </c>
      <c r="W262" s="154" t="s">
        <v>13</v>
      </c>
      <c r="X262" s="154" t="s">
        <v>9</v>
      </c>
      <c r="Y262" s="155" t="str">
        <f t="shared" ref="Y262:Y266" si="510">IF(AND(W262="Preventivo",X262="Automático"),"50%",IF(AND(W262="Preventivo",X262="Manual"),"40%",IF(AND(W262="Detectivo",X262="Automático"),"40%",IF(AND(W262="Detectivo",X262="Manual"),"30%",IF(AND(W262="Correctivo",X262="Automático"),"35%",IF(AND(W262="Correctivo",X262="Manual"),"25%",""))))))</f>
        <v>50%</v>
      </c>
      <c r="Z262" s="154" t="s">
        <v>18</v>
      </c>
      <c r="AA262" s="154" t="s">
        <v>21</v>
      </c>
      <c r="AB262" s="154" t="s">
        <v>112</v>
      </c>
      <c r="AC262" s="156">
        <f>IFERROR(IF(AND(V261="Probabilidad",V262="Probabilidad"),(AE261-(+AE261*Y262)),IF(V262="Probabilidad",(N261-(+N261*Y262)),IF(V262="Impacto",AE261,""))),"")</f>
        <v>0.25</v>
      </c>
      <c r="AD262" s="157" t="str">
        <f t="shared" ref="AD262:AD266" si="511">IFERROR(IF(AC262="","",IF(AC262&lt;=0.2,"Muy Baja",IF(AC262&lt;=0.4,"Baja",IF(AC262&lt;=0.6,"Media",IF(AC262&lt;=0.8,"Alta","Muy Alta"))))),"")</f>
        <v>Baja</v>
      </c>
      <c r="AE262" s="158">
        <f t="shared" ref="AE262:AE266" si="512">+AC262</f>
        <v>0.25</v>
      </c>
      <c r="AF262" s="157" t="str">
        <f t="shared" ref="AF262:AF266" si="513">IFERROR(IF(AG262="","",IF(AG262&lt;=0.2,"Leve",IF(AG262&lt;=0.4,"Menor",IF(AG262&lt;=0.6,"Moderado",IF(AG262&lt;=0.8,"Mayor","Catastrófico"))))),"")</f>
        <v>Catastrófico</v>
      </c>
      <c r="AG262" s="158">
        <f>IFERROR(IF(AND(V261="Impacto",V262="Impacto"),(AG261-(+AG261*Y262)),IF(V262="Impacto",(R261-(+R261*Y262)),IF(V262="Probabilidad",AG261,""))),"")</f>
        <v>1</v>
      </c>
      <c r="AH262" s="159" t="str">
        <f t="shared" ref="AH262:AH263" si="514">IFERROR(IF(OR(AND(AD262="Muy Baja",AF262="Leve"),AND(AD262="Muy Baja",AF262="Menor"),AND(AD262="Baja",AF262="Leve")),"Bajo",IF(OR(AND(AD262="Muy baja",AF262="Moderado"),AND(AD262="Baja",AF262="Menor"),AND(AD262="Baja",AF262="Moderado"),AND(AD262="Media",AF262="Leve"),AND(AD262="Media",AF262="Menor"),AND(AD262="Media",AF262="Moderado"),AND(AD262="Alta",AF262="Leve"),AND(AD262="Alta",AF262="Menor")),"Moderado",IF(OR(AND(AD262="Muy Baja",AF262="Mayor"),AND(AD262="Baja",AF262="Mayor"),AND(AD262="Media",AF262="Mayor"),AND(AD262="Alta",AF262="Moderado"),AND(AD262="Alta",AF262="Mayor"),AND(AD262="Muy Alta",AF262="Leve"),AND(AD262="Muy Alta",AF262="Menor"),AND(AD262="Muy Alta",AF262="Moderado"),AND(AD262="Muy Alta",AF262="Mayor")),"Alto",IF(OR(AND(AD262="Muy Baja",AF262="Catastrófico"),AND(AD262="Baja",AF262="Catastrófico"),AND(AD262="Media",AF262="Catastrófico"),AND(AD262="Alta",AF262="Catastrófico"),AND(AD262="Muy Alta",AF262="Catastrófico")),"Extremo","")))),"")</f>
        <v>Extremo</v>
      </c>
      <c r="AI262" s="161" t="s">
        <v>117</v>
      </c>
      <c r="AJ262" s="179"/>
      <c r="AK262" s="185"/>
      <c r="AL262" s="187"/>
      <c r="AM262" s="195"/>
      <c r="AN262" s="183"/>
      <c r="AO262" s="190"/>
      <c r="AP262" s="190"/>
    </row>
    <row r="263" spans="1:73" ht="15" customHeight="1" x14ac:dyDescent="0.2">
      <c r="A263" s="214"/>
      <c r="B263" s="241"/>
      <c r="C263" s="241"/>
      <c r="D263" s="183"/>
      <c r="E263" s="181"/>
      <c r="F263" s="181"/>
      <c r="G263" s="181"/>
      <c r="H263" s="181"/>
      <c r="I263" s="242"/>
      <c r="J263" s="217"/>
      <c r="K263" s="183"/>
      <c r="L263" s="185"/>
      <c r="M263" s="205"/>
      <c r="N263" s="206"/>
      <c r="O263" s="203"/>
      <c r="P263" s="239">
        <f>IF(NOT(ISERROR(MATCH(O263,_xlfn.ANCHORARRAY(#REF!),0))),#REF!&amp;"Por favor no seleccionar los criterios de impacto",O263)</f>
        <v>0</v>
      </c>
      <c r="Q263" s="205"/>
      <c r="R263" s="206"/>
      <c r="S263" s="207"/>
      <c r="T263" s="152">
        <v>3</v>
      </c>
      <c r="U263" s="167"/>
      <c r="V263" s="153" t="str">
        <f>IF(OR(W263="Preventivo",W263="Detectivo"),"Probabilidad",IF(W263="Correctivo","Impacto",""))</f>
        <v/>
      </c>
      <c r="W263" s="154"/>
      <c r="X263" s="154"/>
      <c r="Y263" s="155" t="str">
        <f t="shared" si="510"/>
        <v/>
      </c>
      <c r="Z263" s="154"/>
      <c r="AA263" s="154"/>
      <c r="AB263" s="154"/>
      <c r="AC263" s="156" t="str">
        <f>IFERROR(IF(AND(V262="Probabilidad",V263="Probabilidad"),(AE262-(+AE262*Y263)),IF(AND(V262="Impacto",V263="Probabilidad"),(AE261-(+AE261*Y263)),IF(V263="Impacto",AE262,""))),"")</f>
        <v/>
      </c>
      <c r="AD263" s="157" t="str">
        <f t="shared" si="511"/>
        <v/>
      </c>
      <c r="AE263" s="158" t="str">
        <f t="shared" si="512"/>
        <v/>
      </c>
      <c r="AF263" s="157" t="str">
        <f t="shared" si="513"/>
        <v/>
      </c>
      <c r="AG263" s="158" t="str">
        <f>IFERROR(IF(AND(V262="Impacto",V263="Impacto"),(AG262-(+AG262*Y263)),IF(AND(V262="Probabilidad",V263="Impacto"),(AG261-(+AG261*Y263)),IF(V263="Probabilidad",AG262,""))),"")</f>
        <v/>
      </c>
      <c r="AH263" s="159" t="str">
        <f t="shared" si="514"/>
        <v/>
      </c>
      <c r="AI263" s="161"/>
      <c r="AJ263" s="179"/>
      <c r="AK263" s="185"/>
      <c r="AL263" s="187"/>
      <c r="AM263" s="195"/>
      <c r="AN263" s="183"/>
      <c r="AO263" s="190"/>
      <c r="AP263" s="190"/>
    </row>
    <row r="264" spans="1:73" ht="15" customHeight="1" x14ac:dyDescent="0.2">
      <c r="A264" s="214"/>
      <c r="B264" s="241"/>
      <c r="C264" s="241"/>
      <c r="D264" s="183"/>
      <c r="E264" s="181"/>
      <c r="F264" s="181"/>
      <c r="G264" s="181"/>
      <c r="H264" s="181"/>
      <c r="I264" s="242"/>
      <c r="J264" s="217"/>
      <c r="K264" s="183"/>
      <c r="L264" s="185"/>
      <c r="M264" s="205"/>
      <c r="N264" s="206"/>
      <c r="O264" s="203"/>
      <c r="P264" s="239">
        <f>IF(NOT(ISERROR(MATCH(O264,_xlfn.ANCHORARRAY(#REF!),0))),#REF!&amp;"Por favor no seleccionar los criterios de impacto",O264)</f>
        <v>0</v>
      </c>
      <c r="Q264" s="205"/>
      <c r="R264" s="206"/>
      <c r="S264" s="207"/>
      <c r="T264" s="152">
        <v>4</v>
      </c>
      <c r="U264" s="160"/>
      <c r="V264" s="153" t="str">
        <f t="shared" ref="V264:V266" si="515">IF(OR(W264="Preventivo",W264="Detectivo"),"Probabilidad",IF(W264="Correctivo","Impacto",""))</f>
        <v/>
      </c>
      <c r="W264" s="154"/>
      <c r="X264" s="154"/>
      <c r="Y264" s="155" t="str">
        <f t="shared" si="510"/>
        <v/>
      </c>
      <c r="Z264" s="154"/>
      <c r="AA264" s="154"/>
      <c r="AB264" s="154"/>
      <c r="AC264" s="156" t="str">
        <f t="shared" ref="AC264:AC266" si="516">IFERROR(IF(AND(V263="Probabilidad",V264="Probabilidad"),(AE263-(+AE263*Y264)),IF(AND(V263="Impacto",V264="Probabilidad"),(AE262-(+AE262*Y264)),IF(V264="Impacto",AE263,""))),"")</f>
        <v/>
      </c>
      <c r="AD264" s="157" t="str">
        <f t="shared" si="511"/>
        <v/>
      </c>
      <c r="AE264" s="158" t="str">
        <f t="shared" si="512"/>
        <v/>
      </c>
      <c r="AF264" s="157" t="str">
        <f t="shared" si="513"/>
        <v/>
      </c>
      <c r="AG264" s="158" t="str">
        <f t="shared" ref="AG264:AG266" si="517">IFERROR(IF(AND(V263="Impacto",V264="Impacto"),(AG263-(+AG263*Y264)),IF(AND(V263="Probabilidad",V264="Impacto"),(AG262-(+AG262*Y264)),IF(V264="Probabilidad",AG263,""))),"")</f>
        <v/>
      </c>
      <c r="AH264" s="159" t="str">
        <f>IFERROR(IF(OR(AND(AD264="Muy Baja",AF264="Leve"),AND(AD264="Muy Baja",AF264="Menor"),AND(AD264="Baja",AF264="Leve")),"Bajo",IF(OR(AND(AD264="Muy baja",AF264="Moderado"),AND(AD264="Baja",AF264="Menor"),AND(AD264="Baja",AF264="Moderado"),AND(AD264="Media",AF264="Leve"),AND(AD264="Media",AF264="Menor"),AND(AD264="Media",AF264="Moderado"),AND(AD264="Alta",AF264="Leve"),AND(AD264="Alta",AF264="Menor")),"Moderado",IF(OR(AND(AD264="Muy Baja",AF264="Mayor"),AND(AD264="Baja",AF264="Mayor"),AND(AD264="Media",AF264="Mayor"),AND(AD264="Alta",AF264="Moderado"),AND(AD264="Alta",AF264="Mayor"),AND(AD264="Muy Alta",AF264="Leve"),AND(AD264="Muy Alta",AF264="Menor"),AND(AD264="Muy Alta",AF264="Moderado"),AND(AD264="Muy Alta",AF264="Mayor")),"Alto",IF(OR(AND(AD264="Muy Baja",AF264="Catastrófico"),AND(AD264="Baja",AF264="Catastrófico"),AND(AD264="Media",AF264="Catastrófico"),AND(AD264="Alta",AF264="Catastrófico"),AND(AD264="Muy Alta",AF264="Catastrófico")),"Extremo","")))),"")</f>
        <v/>
      </c>
      <c r="AI264" s="161"/>
      <c r="AJ264" s="179"/>
      <c r="AK264" s="185"/>
      <c r="AL264" s="187"/>
      <c r="AM264" s="195"/>
      <c r="AN264" s="183"/>
      <c r="AO264" s="190"/>
      <c r="AP264" s="190"/>
    </row>
    <row r="265" spans="1:73" ht="15" customHeight="1" x14ac:dyDescent="0.2">
      <c r="A265" s="214"/>
      <c r="B265" s="241"/>
      <c r="C265" s="241"/>
      <c r="D265" s="183"/>
      <c r="E265" s="181"/>
      <c r="F265" s="181"/>
      <c r="G265" s="181"/>
      <c r="H265" s="181"/>
      <c r="I265" s="242"/>
      <c r="J265" s="217"/>
      <c r="K265" s="183"/>
      <c r="L265" s="185"/>
      <c r="M265" s="205"/>
      <c r="N265" s="206"/>
      <c r="O265" s="203"/>
      <c r="P265" s="239">
        <f>IF(NOT(ISERROR(MATCH(O265,_xlfn.ANCHORARRAY(#REF!),0))),N268&amp;"Por favor no seleccionar los criterios de impacto",O265)</f>
        <v>0</v>
      </c>
      <c r="Q265" s="205"/>
      <c r="R265" s="206"/>
      <c r="S265" s="207"/>
      <c r="T265" s="152">
        <v>5</v>
      </c>
      <c r="U265" s="160"/>
      <c r="V265" s="153" t="str">
        <f t="shared" si="515"/>
        <v/>
      </c>
      <c r="W265" s="154"/>
      <c r="X265" s="154"/>
      <c r="Y265" s="155" t="str">
        <f t="shared" si="510"/>
        <v/>
      </c>
      <c r="Z265" s="154"/>
      <c r="AA265" s="154"/>
      <c r="AB265" s="154"/>
      <c r="AC265" s="156" t="str">
        <f t="shared" si="516"/>
        <v/>
      </c>
      <c r="AD265" s="157" t="str">
        <f t="shared" si="511"/>
        <v/>
      </c>
      <c r="AE265" s="158" t="str">
        <f t="shared" si="512"/>
        <v/>
      </c>
      <c r="AF265" s="157" t="str">
        <f t="shared" si="513"/>
        <v/>
      </c>
      <c r="AG265" s="158" t="str">
        <f t="shared" si="517"/>
        <v/>
      </c>
      <c r="AH265" s="159" t="str">
        <f t="shared" ref="AH265:AH266" si="518">IFERROR(IF(OR(AND(AD265="Muy Baja",AF265="Leve"),AND(AD265="Muy Baja",AF265="Menor"),AND(AD265="Baja",AF265="Leve")),"Bajo",IF(OR(AND(AD265="Muy baja",AF265="Moderado"),AND(AD265="Baja",AF265="Menor"),AND(AD265="Baja",AF265="Moderado"),AND(AD265="Media",AF265="Leve"),AND(AD265="Media",AF265="Menor"),AND(AD265="Media",AF265="Moderado"),AND(AD265="Alta",AF265="Leve"),AND(AD265="Alta",AF265="Menor")),"Moderado",IF(OR(AND(AD265="Muy Baja",AF265="Mayor"),AND(AD265="Baja",AF265="Mayor"),AND(AD265="Media",AF265="Mayor"),AND(AD265="Alta",AF265="Moderado"),AND(AD265="Alta",AF265="Mayor"),AND(AD265="Muy Alta",AF265="Leve"),AND(AD265="Muy Alta",AF265="Menor"),AND(AD265="Muy Alta",AF265="Moderado"),AND(AD265="Muy Alta",AF265="Mayor")),"Alto",IF(OR(AND(AD265="Muy Baja",AF265="Catastrófico"),AND(AD265="Baja",AF265="Catastrófico"),AND(AD265="Media",AF265="Catastrófico"),AND(AD265="Alta",AF265="Catastrófico"),AND(AD265="Muy Alta",AF265="Catastrófico")),"Extremo","")))),"")</f>
        <v/>
      </c>
      <c r="AI265" s="161"/>
      <c r="AJ265" s="179"/>
      <c r="AK265" s="185"/>
      <c r="AL265" s="187"/>
      <c r="AM265" s="195"/>
      <c r="AN265" s="183"/>
      <c r="AO265" s="190"/>
      <c r="AP265" s="190"/>
    </row>
    <row r="266" spans="1:73" ht="15" customHeight="1" x14ac:dyDescent="0.2">
      <c r="A266" s="214"/>
      <c r="B266" s="241"/>
      <c r="C266" s="241"/>
      <c r="D266" s="183"/>
      <c r="E266" s="181"/>
      <c r="F266" s="181"/>
      <c r="G266" s="181"/>
      <c r="H266" s="181"/>
      <c r="I266" s="242"/>
      <c r="J266" s="217"/>
      <c r="K266" s="183"/>
      <c r="L266" s="185"/>
      <c r="M266" s="205"/>
      <c r="N266" s="206"/>
      <c r="O266" s="203"/>
      <c r="P266" s="239">
        <f>IF(NOT(ISERROR(MATCH(O266,_xlfn.ANCHORARRAY(#REF!),0))),N269&amp;"Por favor no seleccionar los criterios de impacto",O266)</f>
        <v>0</v>
      </c>
      <c r="Q266" s="205"/>
      <c r="R266" s="206"/>
      <c r="S266" s="207"/>
      <c r="T266" s="152">
        <v>6</v>
      </c>
      <c r="U266" s="160"/>
      <c r="V266" s="153" t="str">
        <f t="shared" si="515"/>
        <v/>
      </c>
      <c r="W266" s="154"/>
      <c r="X266" s="154"/>
      <c r="Y266" s="155" t="str">
        <f t="shared" si="510"/>
        <v/>
      </c>
      <c r="Z266" s="154"/>
      <c r="AA266" s="154"/>
      <c r="AB266" s="154"/>
      <c r="AC266" s="156" t="str">
        <f t="shared" si="516"/>
        <v/>
      </c>
      <c r="AD266" s="157" t="str">
        <f t="shared" si="511"/>
        <v/>
      </c>
      <c r="AE266" s="158" t="str">
        <f t="shared" si="512"/>
        <v/>
      </c>
      <c r="AF266" s="157" t="str">
        <f t="shared" si="513"/>
        <v/>
      </c>
      <c r="AG266" s="158" t="str">
        <f t="shared" si="517"/>
        <v/>
      </c>
      <c r="AH266" s="159" t="str">
        <f t="shared" si="518"/>
        <v/>
      </c>
      <c r="AI266" s="161"/>
      <c r="AJ266" s="180"/>
      <c r="AK266" s="185"/>
      <c r="AL266" s="187"/>
      <c r="AM266" s="195"/>
      <c r="AN266" s="183"/>
      <c r="AO266" s="191"/>
      <c r="AP266" s="191"/>
    </row>
    <row r="267" spans="1:73" ht="101.25" customHeight="1" x14ac:dyDescent="0.2">
      <c r="A267" s="214">
        <v>46</v>
      </c>
      <c r="B267" s="243" t="s">
        <v>246</v>
      </c>
      <c r="C267" s="243" t="s">
        <v>703</v>
      </c>
      <c r="D267" s="184" t="s">
        <v>268</v>
      </c>
      <c r="E267" s="181" t="s">
        <v>719</v>
      </c>
      <c r="F267" s="181" t="s">
        <v>720</v>
      </c>
      <c r="G267" s="181" t="s">
        <v>721</v>
      </c>
      <c r="H267" s="181" t="s">
        <v>722</v>
      </c>
      <c r="I267" s="242" t="s">
        <v>723</v>
      </c>
      <c r="J267" s="217" t="s">
        <v>239</v>
      </c>
      <c r="K267" s="183" t="s">
        <v>243</v>
      </c>
      <c r="L267" s="185">
        <v>8760</v>
      </c>
      <c r="M267" s="205" t="str">
        <f t="shared" ref="M267" si="519">IF(L267&lt;=0,"",IF(L267&lt;=2,"Muy Baja",IF(L267&lt;=24,"Baja",IF(L267&lt;=500,"Media",IF(L267&lt;=5000,"Alta","Muy Alta")))))</f>
        <v>Muy Alta</v>
      </c>
      <c r="N267" s="206">
        <f t="shared" ref="N267" si="520">IF(M267="","",IF(M267="Muy Baja",0.2,IF(M267="Baja",0.4,IF(M267="Media",0.6,IF(M267="Alta",0.8,IF(M267="Muy Alta",1,))))))</f>
        <v>1</v>
      </c>
      <c r="O267" s="203" t="s">
        <v>136</v>
      </c>
      <c r="P267" s="239" t="str">
        <f>IF(NOT(ISERROR(MATCH(O267,'Tabla Impacto'!$B$221:$B$223,0))),'Tabla Impacto'!$F$223&amp;"Por favor no seleccionar los criterios de impacto(Afectación Económica o presupuestal y Pérdida Reputacional)",O267)</f>
        <v xml:space="preserve">     El riesgo afecta la imagen de la entidad a nivel nacional, con efecto publicitarios sostenible a nivel país</v>
      </c>
      <c r="Q267" s="205" t="str">
        <f>IF(OR(P267='Tabla Impacto'!$C$11,P267='Tabla Impacto'!$D$11),"Leve",IF(OR(P267='Tabla Impacto'!$C$12,P267='Tabla Impacto'!$D$12),"Menor",IF(OR(P267='Tabla Impacto'!$C$13,P267='Tabla Impacto'!$D$13),"Moderado",IF(OR(P267='Tabla Impacto'!$C$14,P267='Tabla Impacto'!$D$14),"Mayor",IF(OR(P267='Tabla Impacto'!$C$15,P267='Tabla Impacto'!$D$15),"Catastrófico","")))))</f>
        <v>Catastrófico</v>
      </c>
      <c r="R267" s="206">
        <f t="shared" ref="R267" si="521">IF(Q267="","",IF(Q267="Leve",0.2,IF(Q267="Menor",0.4,IF(Q267="Moderado",0.6,IF(Q267="Mayor",0.8,IF(Q267="Catastrófico",1,))))))</f>
        <v>1</v>
      </c>
      <c r="S267" s="207" t="str">
        <f t="shared" ref="S267" si="522">IF(OR(AND(M267="Muy Baja",Q267="Leve"),AND(M267="Muy Baja",Q267="Menor"),AND(M267="Baja",Q267="Leve")),"Bajo",IF(OR(AND(M267="Muy baja",Q267="Moderado"),AND(M267="Baja",Q267="Menor"),AND(M267="Baja",Q267="Moderado"),AND(M267="Media",Q267="Leve"),AND(M267="Media",Q267="Menor"),AND(M267="Media",Q267="Moderado"),AND(M267="Alta",Q267="Leve"),AND(M267="Alta",Q267="Menor")),"Moderado",IF(OR(AND(M267="Muy Baja",Q267="Mayor"),AND(M267="Baja",Q267="Mayor"),AND(M267="Media",Q267="Mayor"),AND(M267="Alta",Q267="Moderado"),AND(M267="Alta",Q267="Mayor"),AND(M267="Muy Alta",Q267="Leve"),AND(M267="Muy Alta",Q267="Menor"),AND(M267="Muy Alta",Q267="Moderado"),AND(M267="Muy Alta",Q267="Mayor")),"Alto",IF(OR(AND(M267="Muy Baja",Q267="Catastrófico"),AND(M267="Baja",Q267="Catastrófico"),AND(M267="Media",Q267="Catastrófico"),AND(M267="Alta",Q267="Catastrófico"),AND(M267="Muy Alta",Q267="Catastrófico")),"Extremo",""))))</f>
        <v>Extremo</v>
      </c>
      <c r="T267" s="152">
        <v>1</v>
      </c>
      <c r="U267" s="166" t="s">
        <v>733</v>
      </c>
      <c r="V267" s="153" t="str">
        <f>IF(OR(W267="Preventivo",W267="Detectivo"),"Probabilidad",IF(W267="Correctivo","Impacto",""))</f>
        <v>Probabilidad</v>
      </c>
      <c r="W267" s="154" t="s">
        <v>13</v>
      </c>
      <c r="X267" s="154" t="s">
        <v>9</v>
      </c>
      <c r="Y267" s="155" t="str">
        <f>IF(AND(W267="Preventivo",X267="Automático"),"50%",IF(AND(W267="Preventivo",X267="Manual"),"40%",IF(AND(W267="Detectivo",X267="Automático"),"40%",IF(AND(W267="Detectivo",X267="Manual"),"30%",IF(AND(W267="Correctivo",X267="Automático"),"35%",IF(AND(W267="Correctivo",X267="Manual"),"25%",""))))))</f>
        <v>50%</v>
      </c>
      <c r="Z267" s="154" t="s">
        <v>18</v>
      </c>
      <c r="AA267" s="154" t="s">
        <v>21</v>
      </c>
      <c r="AB267" s="154" t="s">
        <v>112</v>
      </c>
      <c r="AC267" s="156">
        <f>IFERROR(IF(V267="Probabilidad",(N267-(+N267*Y267)),IF(V267="Impacto",N267,"")),"")</f>
        <v>0.5</v>
      </c>
      <c r="AD267" s="157" t="str">
        <f>IFERROR(IF(AC267="","",IF(AC267&lt;=0.2,"Muy Baja",IF(AC267&lt;=0.4,"Baja",IF(AC267&lt;=0.6,"Media",IF(AC267&lt;=0.8,"Alta","Muy Alta"))))),"")</f>
        <v>Media</v>
      </c>
      <c r="AE267" s="158">
        <f>+AC267</f>
        <v>0.5</v>
      </c>
      <c r="AF267" s="157" t="str">
        <f>IFERROR(IF(AG267="","",IF(AG267&lt;=0.2,"Leve",IF(AG267&lt;=0.4,"Menor",IF(AG267&lt;=0.6,"Moderado",IF(AG267&lt;=0.8,"Mayor","Catastrófico"))))),"")</f>
        <v>Catastrófico</v>
      </c>
      <c r="AG267" s="158">
        <f>IFERROR(IF(V267="Impacto",(R267-(+R267*Y267)),IF(V267="Probabilidad",R267,"")),"")</f>
        <v>1</v>
      </c>
      <c r="AH267" s="159" t="str">
        <f>IFERROR(IF(OR(AND(AD267="Muy Baja",AF267="Leve"),AND(AD267="Muy Baja",AF267="Menor"),AND(AD267="Baja",AF267="Leve")),"Bajo",IF(OR(AND(AD267="Muy baja",AF267="Moderado"),AND(AD267="Baja",AF267="Menor"),AND(AD267="Baja",AF267="Moderado"),AND(AD267="Media",AF267="Leve"),AND(AD267="Media",AF267="Menor"),AND(AD267="Media",AF267="Moderado"),AND(AD267="Alta",AF267="Leve"),AND(AD267="Alta",AF267="Menor")),"Moderado",IF(OR(AND(AD267="Muy Baja",AF267="Mayor"),AND(AD267="Baja",AF267="Mayor"),AND(AD267="Media",AF267="Mayor"),AND(AD267="Alta",AF267="Moderado"),AND(AD267="Alta",AF267="Mayor"),AND(AD267="Muy Alta",AF267="Leve"),AND(AD267="Muy Alta",AF267="Menor"),AND(AD267="Muy Alta",AF267="Moderado"),AND(AD267="Muy Alta",AF267="Mayor")),"Alto",IF(OR(AND(AD267="Muy Baja",AF267="Catastrófico"),AND(AD267="Baja",AF267="Catastrófico"),AND(AD267="Media",AF267="Catastrófico"),AND(AD267="Alta",AF267="Catastrófico"),AND(AD267="Muy Alta",AF267="Catastrófico")),"Extremo","")))),"")</f>
        <v>Extremo</v>
      </c>
      <c r="AI267" s="161" t="s">
        <v>117</v>
      </c>
      <c r="AJ267" s="178" t="s">
        <v>740</v>
      </c>
      <c r="AK267" s="186" t="s">
        <v>186</v>
      </c>
      <c r="AL267" s="188">
        <v>45293</v>
      </c>
      <c r="AM267" s="194">
        <v>45657</v>
      </c>
      <c r="AN267" s="184" t="s">
        <v>284</v>
      </c>
      <c r="AO267" s="190" t="s">
        <v>269</v>
      </c>
      <c r="AP267" s="190" t="s">
        <v>742</v>
      </c>
      <c r="AQ267" s="10"/>
      <c r="AR267" s="10"/>
      <c r="AS267" s="10"/>
      <c r="AT267" s="10"/>
      <c r="AU267" s="10"/>
      <c r="AV267" s="10"/>
      <c r="AW267" s="10"/>
      <c r="AX267" s="10"/>
      <c r="AY267" s="10"/>
      <c r="AZ267" s="10"/>
      <c r="BA267" s="10"/>
      <c r="BB267" s="10"/>
      <c r="BC267" s="10"/>
      <c r="BD267" s="10"/>
      <c r="BE267" s="10"/>
      <c r="BF267" s="10"/>
      <c r="BG267" s="10"/>
      <c r="BH267" s="10"/>
      <c r="BI267" s="10"/>
      <c r="BJ267" s="10"/>
      <c r="BK267" s="10"/>
      <c r="BL267" s="10"/>
      <c r="BM267" s="10"/>
      <c r="BN267" s="10"/>
      <c r="BO267" s="10"/>
      <c r="BP267" s="10"/>
      <c r="BQ267" s="10"/>
      <c r="BR267" s="10"/>
      <c r="BS267" s="10"/>
      <c r="BT267" s="10"/>
      <c r="BU267" s="10"/>
    </row>
    <row r="268" spans="1:73" ht="75" customHeight="1" x14ac:dyDescent="0.2">
      <c r="A268" s="214"/>
      <c r="B268" s="241"/>
      <c r="C268" s="241"/>
      <c r="D268" s="183"/>
      <c r="E268" s="181"/>
      <c r="F268" s="181"/>
      <c r="G268" s="181"/>
      <c r="H268" s="181"/>
      <c r="I268" s="242"/>
      <c r="J268" s="217"/>
      <c r="K268" s="183"/>
      <c r="L268" s="185"/>
      <c r="M268" s="205"/>
      <c r="N268" s="206"/>
      <c r="O268" s="203"/>
      <c r="P268" s="239">
        <f>IF(NOT(ISERROR(MATCH(O268,_xlfn.ANCHORARRAY(#REF!),0))),#REF!&amp;"Por favor no seleccionar los criterios de impacto",O268)</f>
        <v>0</v>
      </c>
      <c r="Q268" s="205"/>
      <c r="R268" s="206"/>
      <c r="S268" s="207"/>
      <c r="T268" s="152">
        <v>2</v>
      </c>
      <c r="U268" s="166" t="s">
        <v>734</v>
      </c>
      <c r="V268" s="153" t="str">
        <f>IF(OR(W268="Preventivo",W268="Detectivo"),"Probabilidad",IF(W268="Correctivo","Impacto",""))</f>
        <v>Probabilidad</v>
      </c>
      <c r="W268" s="154" t="s">
        <v>13</v>
      </c>
      <c r="X268" s="154" t="s">
        <v>9</v>
      </c>
      <c r="Y268" s="155" t="str">
        <f t="shared" ref="Y268:Y272" si="523">IF(AND(W268="Preventivo",X268="Automático"),"50%",IF(AND(W268="Preventivo",X268="Manual"),"40%",IF(AND(W268="Detectivo",X268="Automático"),"40%",IF(AND(W268="Detectivo",X268="Manual"),"30%",IF(AND(W268="Correctivo",X268="Automático"),"35%",IF(AND(W268="Correctivo",X268="Manual"),"25%",""))))))</f>
        <v>50%</v>
      </c>
      <c r="Z268" s="154" t="s">
        <v>18</v>
      </c>
      <c r="AA268" s="154" t="s">
        <v>21</v>
      </c>
      <c r="AB268" s="154" t="s">
        <v>112</v>
      </c>
      <c r="AC268" s="156">
        <f>IFERROR(IF(AND(V267="Probabilidad",V268="Probabilidad"),(AE267-(+AE267*Y268)),IF(V268="Probabilidad",(N267-(+N267*Y268)),IF(V268="Impacto",AE267,""))),"")</f>
        <v>0.25</v>
      </c>
      <c r="AD268" s="157" t="str">
        <f t="shared" ref="AD268:AD272" si="524">IFERROR(IF(AC268="","",IF(AC268&lt;=0.2,"Muy Baja",IF(AC268&lt;=0.4,"Baja",IF(AC268&lt;=0.6,"Media",IF(AC268&lt;=0.8,"Alta","Muy Alta"))))),"")</f>
        <v>Baja</v>
      </c>
      <c r="AE268" s="158">
        <f t="shared" ref="AE268:AE272" si="525">+AC268</f>
        <v>0.25</v>
      </c>
      <c r="AF268" s="157" t="str">
        <f t="shared" ref="AF268:AF272" si="526">IFERROR(IF(AG268="","",IF(AG268&lt;=0.2,"Leve",IF(AG268&lt;=0.4,"Menor",IF(AG268&lt;=0.6,"Moderado",IF(AG268&lt;=0.8,"Mayor","Catastrófico"))))),"")</f>
        <v>Catastrófico</v>
      </c>
      <c r="AG268" s="158">
        <f>IFERROR(IF(AND(V267="Impacto",V268="Impacto"),(AG267-(+AG267*Y268)),IF(V268="Impacto",(R267-(+R267*Y268)),IF(V268="Probabilidad",AG267,""))),"")</f>
        <v>1</v>
      </c>
      <c r="AH268" s="159" t="str">
        <f t="shared" ref="AH268:AH269" si="527">IFERROR(IF(OR(AND(AD268="Muy Baja",AF268="Leve"),AND(AD268="Muy Baja",AF268="Menor"),AND(AD268="Baja",AF268="Leve")),"Bajo",IF(OR(AND(AD268="Muy baja",AF268="Moderado"),AND(AD268="Baja",AF268="Menor"),AND(AD268="Baja",AF268="Moderado"),AND(AD268="Media",AF268="Leve"),AND(AD268="Media",AF268="Menor"),AND(AD268="Media",AF268="Moderado"),AND(AD268="Alta",AF268="Leve"),AND(AD268="Alta",AF268="Menor")),"Moderado",IF(OR(AND(AD268="Muy Baja",AF268="Mayor"),AND(AD268="Baja",AF268="Mayor"),AND(AD268="Media",AF268="Mayor"),AND(AD268="Alta",AF268="Moderado"),AND(AD268="Alta",AF268="Mayor"),AND(AD268="Muy Alta",AF268="Leve"),AND(AD268="Muy Alta",AF268="Menor"),AND(AD268="Muy Alta",AF268="Moderado"),AND(AD268="Muy Alta",AF268="Mayor")),"Alto",IF(OR(AND(AD268="Muy Baja",AF268="Catastrófico"),AND(AD268="Baja",AF268="Catastrófico"),AND(AD268="Media",AF268="Catastrófico"),AND(AD268="Alta",AF268="Catastrófico"),AND(AD268="Muy Alta",AF268="Catastrófico")),"Extremo","")))),"")</f>
        <v>Extremo</v>
      </c>
      <c r="AI268" s="161" t="s">
        <v>117</v>
      </c>
      <c r="AJ268" s="179"/>
      <c r="AK268" s="185"/>
      <c r="AL268" s="187"/>
      <c r="AM268" s="195"/>
      <c r="AN268" s="183"/>
      <c r="AO268" s="190"/>
      <c r="AP268" s="190"/>
    </row>
    <row r="269" spans="1:73" ht="15" customHeight="1" x14ac:dyDescent="0.2">
      <c r="A269" s="214"/>
      <c r="B269" s="241"/>
      <c r="C269" s="241"/>
      <c r="D269" s="183"/>
      <c r="E269" s="181"/>
      <c r="F269" s="181"/>
      <c r="G269" s="181"/>
      <c r="H269" s="181"/>
      <c r="I269" s="242"/>
      <c r="J269" s="217"/>
      <c r="K269" s="183"/>
      <c r="L269" s="185"/>
      <c r="M269" s="205"/>
      <c r="N269" s="206"/>
      <c r="O269" s="203"/>
      <c r="P269" s="239">
        <f>IF(NOT(ISERROR(MATCH(O269,_xlfn.ANCHORARRAY(#REF!),0))),#REF!&amp;"Por favor no seleccionar los criterios de impacto",O269)</f>
        <v>0</v>
      </c>
      <c r="Q269" s="205"/>
      <c r="R269" s="206"/>
      <c r="S269" s="207"/>
      <c r="T269" s="152">
        <v>3</v>
      </c>
      <c r="U269" s="167"/>
      <c r="V269" s="153" t="str">
        <f>IF(OR(W269="Preventivo",W269="Detectivo"),"Probabilidad",IF(W269="Correctivo","Impacto",""))</f>
        <v/>
      </c>
      <c r="W269" s="154"/>
      <c r="X269" s="154"/>
      <c r="Y269" s="155" t="str">
        <f t="shared" si="523"/>
        <v/>
      </c>
      <c r="Z269" s="154"/>
      <c r="AA269" s="154"/>
      <c r="AB269" s="154"/>
      <c r="AC269" s="156" t="str">
        <f>IFERROR(IF(AND(V268="Probabilidad",V269="Probabilidad"),(AE268-(+AE268*Y269)),IF(AND(V268="Impacto",V269="Probabilidad"),(AE267-(+AE267*Y269)),IF(V269="Impacto",AE268,""))),"")</f>
        <v/>
      </c>
      <c r="AD269" s="157" t="str">
        <f t="shared" si="524"/>
        <v/>
      </c>
      <c r="AE269" s="158" t="str">
        <f t="shared" si="525"/>
        <v/>
      </c>
      <c r="AF269" s="157" t="str">
        <f t="shared" si="526"/>
        <v/>
      </c>
      <c r="AG269" s="158" t="str">
        <f>IFERROR(IF(AND(V268="Impacto",V269="Impacto"),(AG268-(+AG268*Y269)),IF(AND(V268="Probabilidad",V269="Impacto"),(AG267-(+AG267*Y269)),IF(V269="Probabilidad",AG268,""))),"")</f>
        <v/>
      </c>
      <c r="AH269" s="159" t="str">
        <f t="shared" si="527"/>
        <v/>
      </c>
      <c r="AI269" s="161"/>
      <c r="AJ269" s="179"/>
      <c r="AK269" s="185"/>
      <c r="AL269" s="187"/>
      <c r="AM269" s="195"/>
      <c r="AN269" s="183"/>
      <c r="AO269" s="190"/>
      <c r="AP269" s="190"/>
    </row>
    <row r="270" spans="1:73" ht="15" customHeight="1" x14ac:dyDescent="0.2">
      <c r="A270" s="214"/>
      <c r="B270" s="241"/>
      <c r="C270" s="241"/>
      <c r="D270" s="183"/>
      <c r="E270" s="181"/>
      <c r="F270" s="181"/>
      <c r="G270" s="181"/>
      <c r="H270" s="181"/>
      <c r="I270" s="242"/>
      <c r="J270" s="217"/>
      <c r="K270" s="183"/>
      <c r="L270" s="185"/>
      <c r="M270" s="205"/>
      <c r="N270" s="206"/>
      <c r="O270" s="203"/>
      <c r="P270" s="239">
        <f>IF(NOT(ISERROR(MATCH(O270,_xlfn.ANCHORARRAY(#REF!),0))),#REF!&amp;"Por favor no seleccionar los criterios de impacto",O270)</f>
        <v>0</v>
      </c>
      <c r="Q270" s="205"/>
      <c r="R270" s="206"/>
      <c r="S270" s="207"/>
      <c r="T270" s="152">
        <v>4</v>
      </c>
      <c r="U270" s="160"/>
      <c r="V270" s="153" t="str">
        <f t="shared" ref="V270:V272" si="528">IF(OR(W270="Preventivo",W270="Detectivo"),"Probabilidad",IF(W270="Correctivo","Impacto",""))</f>
        <v/>
      </c>
      <c r="W270" s="154"/>
      <c r="X270" s="154"/>
      <c r="Y270" s="155" t="str">
        <f t="shared" si="523"/>
        <v/>
      </c>
      <c r="Z270" s="154"/>
      <c r="AA270" s="154"/>
      <c r="AB270" s="154"/>
      <c r="AC270" s="156" t="str">
        <f t="shared" ref="AC270:AC272" si="529">IFERROR(IF(AND(V269="Probabilidad",V270="Probabilidad"),(AE269-(+AE269*Y270)),IF(AND(V269="Impacto",V270="Probabilidad"),(AE268-(+AE268*Y270)),IF(V270="Impacto",AE269,""))),"")</f>
        <v/>
      </c>
      <c r="AD270" s="157" t="str">
        <f t="shared" si="524"/>
        <v/>
      </c>
      <c r="AE270" s="158" t="str">
        <f t="shared" si="525"/>
        <v/>
      </c>
      <c r="AF270" s="157" t="str">
        <f t="shared" si="526"/>
        <v/>
      </c>
      <c r="AG270" s="158" t="str">
        <f t="shared" ref="AG270:AG272" si="530">IFERROR(IF(AND(V269="Impacto",V270="Impacto"),(AG269-(+AG269*Y270)),IF(AND(V269="Probabilidad",V270="Impacto"),(AG268-(+AG268*Y270)),IF(V270="Probabilidad",AG269,""))),"")</f>
        <v/>
      </c>
      <c r="AH270" s="159" t="str">
        <f>IFERROR(IF(OR(AND(AD270="Muy Baja",AF270="Leve"),AND(AD270="Muy Baja",AF270="Menor"),AND(AD270="Baja",AF270="Leve")),"Bajo",IF(OR(AND(AD270="Muy baja",AF270="Moderado"),AND(AD270="Baja",AF270="Menor"),AND(AD270="Baja",AF270="Moderado"),AND(AD270="Media",AF270="Leve"),AND(AD270="Media",AF270="Menor"),AND(AD270="Media",AF270="Moderado"),AND(AD270="Alta",AF270="Leve"),AND(AD270="Alta",AF270="Menor")),"Moderado",IF(OR(AND(AD270="Muy Baja",AF270="Mayor"),AND(AD270="Baja",AF270="Mayor"),AND(AD270="Media",AF270="Mayor"),AND(AD270="Alta",AF270="Moderado"),AND(AD270="Alta",AF270="Mayor"),AND(AD270="Muy Alta",AF270="Leve"),AND(AD270="Muy Alta",AF270="Menor"),AND(AD270="Muy Alta",AF270="Moderado"),AND(AD270="Muy Alta",AF270="Mayor")),"Alto",IF(OR(AND(AD270="Muy Baja",AF270="Catastrófico"),AND(AD270="Baja",AF270="Catastrófico"),AND(AD270="Media",AF270="Catastrófico"),AND(AD270="Alta",AF270="Catastrófico"),AND(AD270="Muy Alta",AF270="Catastrófico")),"Extremo","")))),"")</f>
        <v/>
      </c>
      <c r="AI270" s="161"/>
      <c r="AJ270" s="179"/>
      <c r="AK270" s="185"/>
      <c r="AL270" s="187"/>
      <c r="AM270" s="195"/>
      <c r="AN270" s="183"/>
      <c r="AO270" s="190"/>
      <c r="AP270" s="190"/>
    </row>
    <row r="271" spans="1:73" ht="15" customHeight="1" x14ac:dyDescent="0.2">
      <c r="A271" s="214"/>
      <c r="B271" s="241"/>
      <c r="C271" s="241"/>
      <c r="D271" s="183"/>
      <c r="E271" s="181"/>
      <c r="F271" s="181"/>
      <c r="G271" s="181"/>
      <c r="H271" s="181"/>
      <c r="I271" s="242"/>
      <c r="J271" s="217"/>
      <c r="K271" s="183"/>
      <c r="L271" s="185"/>
      <c r="M271" s="205"/>
      <c r="N271" s="206"/>
      <c r="O271" s="203"/>
      <c r="P271" s="239">
        <f>IF(NOT(ISERROR(MATCH(O271,_xlfn.ANCHORARRAY(#REF!),0))),N274&amp;"Por favor no seleccionar los criterios de impacto",O271)</f>
        <v>0</v>
      </c>
      <c r="Q271" s="205"/>
      <c r="R271" s="206"/>
      <c r="S271" s="207"/>
      <c r="T271" s="152">
        <v>5</v>
      </c>
      <c r="U271" s="160"/>
      <c r="V271" s="153" t="str">
        <f t="shared" si="528"/>
        <v/>
      </c>
      <c r="W271" s="154"/>
      <c r="X271" s="154"/>
      <c r="Y271" s="155" t="str">
        <f t="shared" si="523"/>
        <v/>
      </c>
      <c r="Z271" s="154"/>
      <c r="AA271" s="154"/>
      <c r="AB271" s="154"/>
      <c r="AC271" s="156" t="str">
        <f t="shared" si="529"/>
        <v/>
      </c>
      <c r="AD271" s="157" t="str">
        <f t="shared" si="524"/>
        <v/>
      </c>
      <c r="AE271" s="158" t="str">
        <f t="shared" si="525"/>
        <v/>
      </c>
      <c r="AF271" s="157" t="str">
        <f t="shared" si="526"/>
        <v/>
      </c>
      <c r="AG271" s="158" t="str">
        <f t="shared" si="530"/>
        <v/>
      </c>
      <c r="AH271" s="159" t="str">
        <f t="shared" ref="AH271:AH272" si="531">IFERROR(IF(OR(AND(AD271="Muy Baja",AF271="Leve"),AND(AD271="Muy Baja",AF271="Menor"),AND(AD271="Baja",AF271="Leve")),"Bajo",IF(OR(AND(AD271="Muy baja",AF271="Moderado"),AND(AD271="Baja",AF271="Menor"),AND(AD271="Baja",AF271="Moderado"),AND(AD271="Media",AF271="Leve"),AND(AD271="Media",AF271="Menor"),AND(AD271="Media",AF271="Moderado"),AND(AD271="Alta",AF271="Leve"),AND(AD271="Alta",AF271="Menor")),"Moderado",IF(OR(AND(AD271="Muy Baja",AF271="Mayor"),AND(AD271="Baja",AF271="Mayor"),AND(AD271="Media",AF271="Mayor"),AND(AD271="Alta",AF271="Moderado"),AND(AD271="Alta",AF271="Mayor"),AND(AD271="Muy Alta",AF271="Leve"),AND(AD271="Muy Alta",AF271="Menor"),AND(AD271="Muy Alta",AF271="Moderado"),AND(AD271="Muy Alta",AF271="Mayor")),"Alto",IF(OR(AND(AD271="Muy Baja",AF271="Catastrófico"),AND(AD271="Baja",AF271="Catastrófico"),AND(AD271="Media",AF271="Catastrófico"),AND(AD271="Alta",AF271="Catastrófico"),AND(AD271="Muy Alta",AF271="Catastrófico")),"Extremo","")))),"")</f>
        <v/>
      </c>
      <c r="AI271" s="161"/>
      <c r="AJ271" s="179"/>
      <c r="AK271" s="185"/>
      <c r="AL271" s="187"/>
      <c r="AM271" s="195"/>
      <c r="AN271" s="183"/>
      <c r="AO271" s="190"/>
      <c r="AP271" s="190"/>
    </row>
    <row r="272" spans="1:73" ht="15" customHeight="1" x14ac:dyDescent="0.2">
      <c r="A272" s="214"/>
      <c r="B272" s="241"/>
      <c r="C272" s="241"/>
      <c r="D272" s="183"/>
      <c r="E272" s="181"/>
      <c r="F272" s="181"/>
      <c r="G272" s="181"/>
      <c r="H272" s="181"/>
      <c r="I272" s="242"/>
      <c r="J272" s="217"/>
      <c r="K272" s="183"/>
      <c r="L272" s="185"/>
      <c r="M272" s="205"/>
      <c r="N272" s="206"/>
      <c r="O272" s="203"/>
      <c r="P272" s="239">
        <f>IF(NOT(ISERROR(MATCH(O272,_xlfn.ANCHORARRAY(#REF!),0))),N275&amp;"Por favor no seleccionar los criterios de impacto",O272)</f>
        <v>0</v>
      </c>
      <c r="Q272" s="205"/>
      <c r="R272" s="206"/>
      <c r="S272" s="207"/>
      <c r="T272" s="152">
        <v>6</v>
      </c>
      <c r="U272" s="160"/>
      <c r="V272" s="153" t="str">
        <f t="shared" si="528"/>
        <v/>
      </c>
      <c r="W272" s="154"/>
      <c r="X272" s="154"/>
      <c r="Y272" s="155" t="str">
        <f t="shared" si="523"/>
        <v/>
      </c>
      <c r="Z272" s="154"/>
      <c r="AA272" s="154"/>
      <c r="AB272" s="154"/>
      <c r="AC272" s="156" t="str">
        <f t="shared" si="529"/>
        <v/>
      </c>
      <c r="AD272" s="157" t="str">
        <f t="shared" si="524"/>
        <v/>
      </c>
      <c r="AE272" s="158" t="str">
        <f t="shared" si="525"/>
        <v/>
      </c>
      <c r="AF272" s="157" t="str">
        <f t="shared" si="526"/>
        <v/>
      </c>
      <c r="AG272" s="158" t="str">
        <f t="shared" si="530"/>
        <v/>
      </c>
      <c r="AH272" s="159" t="str">
        <f t="shared" si="531"/>
        <v/>
      </c>
      <c r="AI272" s="161"/>
      <c r="AJ272" s="180"/>
      <c r="AK272" s="185"/>
      <c r="AL272" s="187"/>
      <c r="AM272" s="195"/>
      <c r="AN272" s="183"/>
      <c r="AO272" s="191"/>
      <c r="AP272" s="191"/>
    </row>
    <row r="273" spans="1:73" ht="108.75" customHeight="1" x14ac:dyDescent="0.2">
      <c r="A273" s="214">
        <v>47</v>
      </c>
      <c r="B273" s="243" t="s">
        <v>246</v>
      </c>
      <c r="C273" s="243" t="s">
        <v>703</v>
      </c>
      <c r="D273" s="184" t="s">
        <v>268</v>
      </c>
      <c r="E273" s="197"/>
      <c r="F273" s="197"/>
      <c r="G273" s="197" t="s">
        <v>724</v>
      </c>
      <c r="H273" s="197" t="s">
        <v>725</v>
      </c>
      <c r="I273" s="289" t="s">
        <v>726</v>
      </c>
      <c r="J273" s="217" t="s">
        <v>239</v>
      </c>
      <c r="K273" s="197" t="s">
        <v>243</v>
      </c>
      <c r="L273" s="185">
        <v>8760</v>
      </c>
      <c r="M273" s="205" t="str">
        <f t="shared" ref="M273" si="532">IF(L273&lt;=0,"",IF(L273&lt;=2,"Muy Baja",IF(L273&lt;=24,"Baja",IF(L273&lt;=500,"Media",IF(L273&lt;=5000,"Alta","Muy Alta")))))</f>
        <v>Muy Alta</v>
      </c>
      <c r="N273" s="206">
        <f t="shared" ref="N273" si="533">IF(M273="","",IF(M273="Muy Baja",0.2,IF(M273="Baja",0.4,IF(M273="Media",0.6,IF(M273="Alta",0.8,IF(M273="Muy Alta",1,))))))</f>
        <v>1</v>
      </c>
      <c r="O273" s="203" t="s">
        <v>136</v>
      </c>
      <c r="P273" s="239" t="str">
        <f>IF(NOT(ISERROR(MATCH(O273,'Tabla Impacto'!$B$221:$B$223,0))),'Tabla Impacto'!$F$223&amp;"Por favor no seleccionar los criterios de impacto(Afectación Económica o presupuestal y Pérdida Reputacional)",O273)</f>
        <v xml:space="preserve">     El riesgo afecta la imagen de la entidad a nivel nacional, con efecto publicitarios sostenible a nivel país</v>
      </c>
      <c r="Q273" s="205" t="str">
        <f>IF(OR(P273='Tabla Impacto'!$C$11,P273='Tabla Impacto'!$D$11),"Leve",IF(OR(P273='Tabla Impacto'!$C$12,P273='Tabla Impacto'!$D$12),"Menor",IF(OR(P273='Tabla Impacto'!$C$13,P273='Tabla Impacto'!$D$13),"Moderado",IF(OR(P273='Tabla Impacto'!$C$14,P273='Tabla Impacto'!$D$14),"Mayor",IF(OR(P273='Tabla Impacto'!$C$15,P273='Tabla Impacto'!$D$15),"Catastrófico","")))))</f>
        <v>Catastrófico</v>
      </c>
      <c r="R273" s="206">
        <f t="shared" ref="R273" si="534">IF(Q273="","",IF(Q273="Leve",0.2,IF(Q273="Menor",0.4,IF(Q273="Moderado",0.6,IF(Q273="Mayor",0.8,IF(Q273="Catastrófico",1,))))))</f>
        <v>1</v>
      </c>
      <c r="S273" s="207" t="str">
        <f t="shared" ref="S273" si="535">IF(OR(AND(M273="Muy Baja",Q273="Leve"),AND(M273="Muy Baja",Q273="Menor"),AND(M273="Baja",Q273="Leve")),"Bajo",IF(OR(AND(M273="Muy baja",Q273="Moderado"),AND(M273="Baja",Q273="Menor"),AND(M273="Baja",Q273="Moderado"),AND(M273="Media",Q273="Leve"),AND(M273="Media",Q273="Menor"),AND(M273="Media",Q273="Moderado"),AND(M273="Alta",Q273="Leve"),AND(M273="Alta",Q273="Menor")),"Moderado",IF(OR(AND(M273="Muy Baja",Q273="Mayor"),AND(M273="Baja",Q273="Mayor"),AND(M273="Media",Q273="Mayor"),AND(M273="Alta",Q273="Moderado"),AND(M273="Alta",Q273="Mayor"),AND(M273="Muy Alta",Q273="Leve"),AND(M273="Muy Alta",Q273="Menor"),AND(M273="Muy Alta",Q273="Moderado"),AND(M273="Muy Alta",Q273="Mayor")),"Alto",IF(OR(AND(M273="Muy Baja",Q273="Catastrófico"),AND(M273="Baja",Q273="Catastrófico"),AND(M273="Media",Q273="Catastrófico"),AND(M273="Alta",Q273="Catastrófico"),AND(M273="Muy Alta",Q273="Catastrófico")),"Extremo",""))))</f>
        <v>Extremo</v>
      </c>
      <c r="T273" s="152">
        <v>1</v>
      </c>
      <c r="U273" s="166" t="s">
        <v>735</v>
      </c>
      <c r="V273" s="153" t="str">
        <f>IF(OR(W273="Preventivo",W273="Detectivo"),"Probabilidad",IF(W273="Correctivo","Impacto",""))</f>
        <v>Probabilidad</v>
      </c>
      <c r="W273" s="154" t="s">
        <v>13</v>
      </c>
      <c r="X273" s="154" t="s">
        <v>9</v>
      </c>
      <c r="Y273" s="155" t="str">
        <f>IF(AND(W273="Preventivo",X273="Automático"),"50%",IF(AND(W273="Preventivo",X273="Manual"),"40%",IF(AND(W273="Detectivo",X273="Automático"),"40%",IF(AND(W273="Detectivo",X273="Manual"),"30%",IF(AND(W273="Correctivo",X273="Automático"),"35%",IF(AND(W273="Correctivo",X273="Manual"),"25%",""))))))</f>
        <v>50%</v>
      </c>
      <c r="Z273" s="154" t="s">
        <v>18</v>
      </c>
      <c r="AA273" s="154" t="s">
        <v>21</v>
      </c>
      <c r="AB273" s="154" t="s">
        <v>112</v>
      </c>
      <c r="AC273" s="156">
        <f>IFERROR(IF(V273="Probabilidad",(N273-(+N273*Y273)),IF(V273="Impacto",N273,"")),"")</f>
        <v>0.5</v>
      </c>
      <c r="AD273" s="157" t="str">
        <f>IFERROR(IF(AC273="","",IF(AC273&lt;=0.2,"Muy Baja",IF(AC273&lt;=0.4,"Baja",IF(AC273&lt;=0.6,"Media",IF(AC273&lt;=0.8,"Alta","Muy Alta"))))),"")</f>
        <v>Media</v>
      </c>
      <c r="AE273" s="158">
        <f>+AC273</f>
        <v>0.5</v>
      </c>
      <c r="AF273" s="157" t="str">
        <f>IFERROR(IF(AG273="","",IF(AG273&lt;=0.2,"Leve",IF(AG273&lt;=0.4,"Menor",IF(AG273&lt;=0.6,"Moderado",IF(AG273&lt;=0.8,"Mayor","Catastrófico"))))),"")</f>
        <v>Catastrófico</v>
      </c>
      <c r="AG273" s="158">
        <f>IFERROR(IF(V273="Impacto",(R273-(+R273*Y273)),IF(V273="Probabilidad",R273,"")),"")</f>
        <v>1</v>
      </c>
      <c r="AH273" s="159" t="str">
        <f>IFERROR(IF(OR(AND(AD273="Muy Baja",AF273="Leve"),AND(AD273="Muy Baja",AF273="Menor"),AND(AD273="Baja",AF273="Leve")),"Bajo",IF(OR(AND(AD273="Muy baja",AF273="Moderado"),AND(AD273="Baja",AF273="Menor"),AND(AD273="Baja",AF273="Moderado"),AND(AD273="Media",AF273="Leve"),AND(AD273="Media",AF273="Menor"),AND(AD273="Media",AF273="Moderado"),AND(AD273="Alta",AF273="Leve"),AND(AD273="Alta",AF273="Menor")),"Moderado",IF(OR(AND(AD273="Muy Baja",AF273="Mayor"),AND(AD273="Baja",AF273="Mayor"),AND(AD273="Media",AF273="Mayor"),AND(AD273="Alta",AF273="Moderado"),AND(AD273="Alta",AF273="Mayor"),AND(AD273="Muy Alta",AF273="Leve"),AND(AD273="Muy Alta",AF273="Menor"),AND(AD273="Muy Alta",AF273="Moderado"),AND(AD273="Muy Alta",AF273="Mayor")),"Alto",IF(OR(AND(AD273="Muy Baja",AF273="Catastrófico"),AND(AD273="Baja",AF273="Catastrófico"),AND(AD273="Media",AF273="Catastrófico"),AND(AD273="Alta",AF273="Catastrófico"),AND(AD273="Muy Alta",AF273="Catastrófico")),"Extremo","")))),"")</f>
        <v>Extremo</v>
      </c>
      <c r="AI273" s="161" t="s">
        <v>117</v>
      </c>
      <c r="AJ273" s="181" t="s">
        <v>741</v>
      </c>
      <c r="AK273" s="186" t="s">
        <v>186</v>
      </c>
      <c r="AL273" s="188">
        <v>45293</v>
      </c>
      <c r="AM273" s="194">
        <v>45657</v>
      </c>
      <c r="AN273" s="184" t="s">
        <v>284</v>
      </c>
      <c r="AO273" s="190" t="s">
        <v>269</v>
      </c>
      <c r="AP273" s="190" t="s">
        <v>742</v>
      </c>
      <c r="AQ273" s="10"/>
      <c r="AR273" s="10"/>
      <c r="AS273" s="10"/>
      <c r="AT273" s="10"/>
      <c r="AU273" s="10"/>
      <c r="AV273" s="10"/>
      <c r="AW273" s="10"/>
      <c r="AX273" s="10"/>
      <c r="AY273" s="10"/>
      <c r="AZ273" s="10"/>
      <c r="BA273" s="10"/>
      <c r="BB273" s="10"/>
      <c r="BC273" s="10"/>
      <c r="BD273" s="10"/>
      <c r="BE273" s="10"/>
      <c r="BF273" s="10"/>
      <c r="BG273" s="10"/>
      <c r="BH273" s="10"/>
      <c r="BI273" s="10"/>
      <c r="BJ273" s="10"/>
      <c r="BK273" s="10"/>
      <c r="BL273" s="10"/>
      <c r="BM273" s="10"/>
      <c r="BN273" s="10"/>
      <c r="BO273" s="10"/>
      <c r="BP273" s="10"/>
      <c r="BQ273" s="10"/>
      <c r="BR273" s="10"/>
      <c r="BS273" s="10"/>
      <c r="BT273" s="10"/>
      <c r="BU273" s="10"/>
    </row>
    <row r="274" spans="1:73" ht="81" customHeight="1" x14ac:dyDescent="0.2">
      <c r="A274" s="214"/>
      <c r="B274" s="241"/>
      <c r="C274" s="241"/>
      <c r="D274" s="183"/>
      <c r="E274" s="197"/>
      <c r="F274" s="197"/>
      <c r="G274" s="197"/>
      <c r="H274" s="197"/>
      <c r="I274" s="289"/>
      <c r="J274" s="217"/>
      <c r="K274" s="197"/>
      <c r="L274" s="185"/>
      <c r="M274" s="205"/>
      <c r="N274" s="206"/>
      <c r="O274" s="203"/>
      <c r="P274" s="239">
        <f>IF(NOT(ISERROR(MATCH(O274,_xlfn.ANCHORARRAY(#REF!),0))),#REF!&amp;"Por favor no seleccionar los criterios de impacto",O274)</f>
        <v>0</v>
      </c>
      <c r="Q274" s="205"/>
      <c r="R274" s="206"/>
      <c r="S274" s="207"/>
      <c r="T274" s="152">
        <v>2</v>
      </c>
      <c r="U274" s="166" t="s">
        <v>736</v>
      </c>
      <c r="V274" s="153" t="str">
        <f>IF(OR(W274="Preventivo",W274="Detectivo"),"Probabilidad",IF(W274="Correctivo","Impacto",""))</f>
        <v>Probabilidad</v>
      </c>
      <c r="W274" s="154" t="s">
        <v>13</v>
      </c>
      <c r="X274" s="154" t="s">
        <v>9</v>
      </c>
      <c r="Y274" s="155" t="str">
        <f t="shared" ref="Y274:Y278" si="536">IF(AND(W274="Preventivo",X274="Automático"),"50%",IF(AND(W274="Preventivo",X274="Manual"),"40%",IF(AND(W274="Detectivo",X274="Automático"),"40%",IF(AND(W274="Detectivo",X274="Manual"),"30%",IF(AND(W274="Correctivo",X274="Automático"),"35%",IF(AND(W274="Correctivo",X274="Manual"),"25%",""))))))</f>
        <v>50%</v>
      </c>
      <c r="Z274" s="154" t="s">
        <v>18</v>
      </c>
      <c r="AA274" s="154" t="s">
        <v>21</v>
      </c>
      <c r="AB274" s="154" t="s">
        <v>112</v>
      </c>
      <c r="AC274" s="156">
        <f>IFERROR(IF(AND(V273="Probabilidad",V274="Probabilidad"),(AE273-(+AE273*Y274)),IF(V274="Probabilidad",(N273-(+N273*Y274)),IF(V274="Impacto",AE273,""))),"")</f>
        <v>0.25</v>
      </c>
      <c r="AD274" s="157" t="str">
        <f t="shared" ref="AD274:AD278" si="537">IFERROR(IF(AC274="","",IF(AC274&lt;=0.2,"Muy Baja",IF(AC274&lt;=0.4,"Baja",IF(AC274&lt;=0.6,"Media",IF(AC274&lt;=0.8,"Alta","Muy Alta"))))),"")</f>
        <v>Baja</v>
      </c>
      <c r="AE274" s="158">
        <f t="shared" ref="AE274:AE278" si="538">+AC274</f>
        <v>0.25</v>
      </c>
      <c r="AF274" s="157" t="str">
        <f t="shared" ref="AF274:AF278" si="539">IFERROR(IF(AG274="","",IF(AG274&lt;=0.2,"Leve",IF(AG274&lt;=0.4,"Menor",IF(AG274&lt;=0.6,"Moderado",IF(AG274&lt;=0.8,"Mayor","Catastrófico"))))),"")</f>
        <v>Catastrófico</v>
      </c>
      <c r="AG274" s="158">
        <f>IFERROR(IF(AND(V273="Impacto",V274="Impacto"),(AG273-(+AG273*Y274)),IF(V274="Impacto",(R273-(+R273*Y274)),IF(V274="Probabilidad",AG273,""))),"")</f>
        <v>1</v>
      </c>
      <c r="AH274" s="159" t="str">
        <f t="shared" ref="AH274:AH275" si="540">IFERROR(IF(OR(AND(AD274="Muy Baja",AF274="Leve"),AND(AD274="Muy Baja",AF274="Menor"),AND(AD274="Baja",AF274="Leve")),"Bajo",IF(OR(AND(AD274="Muy baja",AF274="Moderado"),AND(AD274="Baja",AF274="Menor"),AND(AD274="Baja",AF274="Moderado"),AND(AD274="Media",AF274="Leve"),AND(AD274="Media",AF274="Menor"),AND(AD274="Media",AF274="Moderado"),AND(AD274="Alta",AF274="Leve"),AND(AD274="Alta",AF274="Menor")),"Moderado",IF(OR(AND(AD274="Muy Baja",AF274="Mayor"),AND(AD274="Baja",AF274="Mayor"),AND(AD274="Media",AF274="Mayor"),AND(AD274="Alta",AF274="Moderado"),AND(AD274="Alta",AF274="Mayor"),AND(AD274="Muy Alta",AF274="Leve"),AND(AD274="Muy Alta",AF274="Menor"),AND(AD274="Muy Alta",AF274="Moderado"),AND(AD274="Muy Alta",AF274="Mayor")),"Alto",IF(OR(AND(AD274="Muy Baja",AF274="Catastrófico"),AND(AD274="Baja",AF274="Catastrófico"),AND(AD274="Media",AF274="Catastrófico"),AND(AD274="Alta",AF274="Catastrófico"),AND(AD274="Muy Alta",AF274="Catastrófico")),"Extremo","")))),"")</f>
        <v>Extremo</v>
      </c>
      <c r="AI274" s="161" t="s">
        <v>117</v>
      </c>
      <c r="AJ274" s="181"/>
      <c r="AK274" s="185"/>
      <c r="AL274" s="187"/>
      <c r="AM274" s="195"/>
      <c r="AN274" s="183"/>
      <c r="AO274" s="190"/>
      <c r="AP274" s="190"/>
    </row>
    <row r="275" spans="1:73" ht="15" customHeight="1" x14ac:dyDescent="0.2">
      <c r="A275" s="214"/>
      <c r="B275" s="241"/>
      <c r="C275" s="241"/>
      <c r="D275" s="183"/>
      <c r="E275" s="197"/>
      <c r="F275" s="197"/>
      <c r="G275" s="197"/>
      <c r="H275" s="197"/>
      <c r="I275" s="289"/>
      <c r="J275" s="217"/>
      <c r="K275" s="197"/>
      <c r="L275" s="185"/>
      <c r="M275" s="205"/>
      <c r="N275" s="206"/>
      <c r="O275" s="203"/>
      <c r="P275" s="239">
        <f>IF(NOT(ISERROR(MATCH(O275,_xlfn.ANCHORARRAY(#REF!),0))),#REF!&amp;"Por favor no seleccionar los criterios de impacto",O275)</f>
        <v>0</v>
      </c>
      <c r="Q275" s="205"/>
      <c r="R275" s="206"/>
      <c r="S275" s="207"/>
      <c r="T275" s="152">
        <v>3</v>
      </c>
      <c r="U275" s="167"/>
      <c r="V275" s="153" t="str">
        <f>IF(OR(W275="Preventivo",W275="Detectivo"),"Probabilidad",IF(W275="Correctivo","Impacto",""))</f>
        <v/>
      </c>
      <c r="W275" s="154"/>
      <c r="X275" s="154"/>
      <c r="Y275" s="155" t="str">
        <f t="shared" si="536"/>
        <v/>
      </c>
      <c r="Z275" s="154"/>
      <c r="AA275" s="154"/>
      <c r="AB275" s="154"/>
      <c r="AC275" s="156" t="str">
        <f>IFERROR(IF(AND(V274="Probabilidad",V275="Probabilidad"),(AE274-(+AE274*Y275)),IF(AND(V274="Impacto",V275="Probabilidad"),(AE273-(+AE273*Y275)),IF(V275="Impacto",AE274,""))),"")</f>
        <v/>
      </c>
      <c r="AD275" s="157" t="str">
        <f t="shared" si="537"/>
        <v/>
      </c>
      <c r="AE275" s="158" t="str">
        <f t="shared" si="538"/>
        <v/>
      </c>
      <c r="AF275" s="157" t="str">
        <f t="shared" si="539"/>
        <v/>
      </c>
      <c r="AG275" s="158" t="str">
        <f>IFERROR(IF(AND(V274="Impacto",V275="Impacto"),(AG274-(+AG274*Y275)),IF(AND(V274="Probabilidad",V275="Impacto"),(AG273-(+AG273*Y275)),IF(V275="Probabilidad",AG274,""))),"")</f>
        <v/>
      </c>
      <c r="AH275" s="159" t="str">
        <f t="shared" si="540"/>
        <v/>
      </c>
      <c r="AI275" s="161"/>
      <c r="AJ275" s="181"/>
      <c r="AK275" s="185"/>
      <c r="AL275" s="187"/>
      <c r="AM275" s="195"/>
      <c r="AN275" s="183"/>
      <c r="AO275" s="190"/>
      <c r="AP275" s="190"/>
    </row>
    <row r="276" spans="1:73" ht="15" customHeight="1" x14ac:dyDescent="0.2">
      <c r="A276" s="214"/>
      <c r="B276" s="241"/>
      <c r="C276" s="241"/>
      <c r="D276" s="183"/>
      <c r="E276" s="197"/>
      <c r="F276" s="197"/>
      <c r="G276" s="197"/>
      <c r="H276" s="197"/>
      <c r="I276" s="289"/>
      <c r="J276" s="217"/>
      <c r="K276" s="197"/>
      <c r="L276" s="185"/>
      <c r="M276" s="205"/>
      <c r="N276" s="206"/>
      <c r="O276" s="203"/>
      <c r="P276" s="239">
        <f>IF(NOT(ISERROR(MATCH(O276,_xlfn.ANCHORARRAY(#REF!),0))),#REF!&amp;"Por favor no seleccionar los criterios de impacto",O276)</f>
        <v>0</v>
      </c>
      <c r="Q276" s="205"/>
      <c r="R276" s="206"/>
      <c r="S276" s="207"/>
      <c r="T276" s="152">
        <v>4</v>
      </c>
      <c r="U276" s="160"/>
      <c r="V276" s="153" t="str">
        <f t="shared" ref="V276:V278" si="541">IF(OR(W276="Preventivo",W276="Detectivo"),"Probabilidad",IF(W276="Correctivo","Impacto",""))</f>
        <v/>
      </c>
      <c r="W276" s="154"/>
      <c r="X276" s="154"/>
      <c r="Y276" s="155" t="str">
        <f t="shared" si="536"/>
        <v/>
      </c>
      <c r="Z276" s="154"/>
      <c r="AA276" s="154"/>
      <c r="AB276" s="154"/>
      <c r="AC276" s="156" t="str">
        <f t="shared" ref="AC276:AC278" si="542">IFERROR(IF(AND(V275="Probabilidad",V276="Probabilidad"),(AE275-(+AE275*Y276)),IF(AND(V275="Impacto",V276="Probabilidad"),(AE274-(+AE274*Y276)),IF(V276="Impacto",AE275,""))),"")</f>
        <v/>
      </c>
      <c r="AD276" s="157" t="str">
        <f t="shared" si="537"/>
        <v/>
      </c>
      <c r="AE276" s="158" t="str">
        <f t="shared" si="538"/>
        <v/>
      </c>
      <c r="AF276" s="157" t="str">
        <f t="shared" si="539"/>
        <v/>
      </c>
      <c r="AG276" s="158" t="str">
        <f t="shared" ref="AG276:AG278" si="543">IFERROR(IF(AND(V275="Impacto",V276="Impacto"),(AG275-(+AG275*Y276)),IF(AND(V275="Probabilidad",V276="Impacto"),(AG274-(+AG274*Y276)),IF(V276="Probabilidad",AG275,""))),"")</f>
        <v/>
      </c>
      <c r="AH276" s="159" t="str">
        <f>IFERROR(IF(OR(AND(AD276="Muy Baja",AF276="Leve"),AND(AD276="Muy Baja",AF276="Menor"),AND(AD276="Baja",AF276="Leve")),"Bajo",IF(OR(AND(AD276="Muy baja",AF276="Moderado"),AND(AD276="Baja",AF276="Menor"),AND(AD276="Baja",AF276="Moderado"),AND(AD276="Media",AF276="Leve"),AND(AD276="Media",AF276="Menor"),AND(AD276="Media",AF276="Moderado"),AND(AD276="Alta",AF276="Leve"),AND(AD276="Alta",AF276="Menor")),"Moderado",IF(OR(AND(AD276="Muy Baja",AF276="Mayor"),AND(AD276="Baja",AF276="Mayor"),AND(AD276="Media",AF276="Mayor"),AND(AD276="Alta",AF276="Moderado"),AND(AD276="Alta",AF276="Mayor"),AND(AD276="Muy Alta",AF276="Leve"),AND(AD276="Muy Alta",AF276="Menor"),AND(AD276="Muy Alta",AF276="Moderado"),AND(AD276="Muy Alta",AF276="Mayor")),"Alto",IF(OR(AND(AD276="Muy Baja",AF276="Catastrófico"),AND(AD276="Baja",AF276="Catastrófico"),AND(AD276="Media",AF276="Catastrófico"),AND(AD276="Alta",AF276="Catastrófico"),AND(AD276="Muy Alta",AF276="Catastrófico")),"Extremo","")))),"")</f>
        <v/>
      </c>
      <c r="AI276" s="161"/>
      <c r="AJ276" s="181"/>
      <c r="AK276" s="185"/>
      <c r="AL276" s="187"/>
      <c r="AM276" s="195"/>
      <c r="AN276" s="183"/>
      <c r="AO276" s="190"/>
      <c r="AP276" s="190"/>
    </row>
    <row r="277" spans="1:73" ht="15" customHeight="1" x14ac:dyDescent="0.2">
      <c r="A277" s="214"/>
      <c r="B277" s="241"/>
      <c r="C277" s="241"/>
      <c r="D277" s="183"/>
      <c r="E277" s="197"/>
      <c r="F277" s="197"/>
      <c r="G277" s="197"/>
      <c r="H277" s="197"/>
      <c r="I277" s="289"/>
      <c r="J277" s="217"/>
      <c r="K277" s="197"/>
      <c r="L277" s="185"/>
      <c r="M277" s="205"/>
      <c r="N277" s="206"/>
      <c r="O277" s="203"/>
      <c r="P277" s="239">
        <f>IF(NOT(ISERROR(MATCH(O277,_xlfn.ANCHORARRAY(#REF!),0))),N280&amp;"Por favor no seleccionar los criterios de impacto",O277)</f>
        <v>0</v>
      </c>
      <c r="Q277" s="205"/>
      <c r="R277" s="206"/>
      <c r="S277" s="207"/>
      <c r="T277" s="152">
        <v>5</v>
      </c>
      <c r="U277" s="160"/>
      <c r="V277" s="153" t="str">
        <f t="shared" si="541"/>
        <v/>
      </c>
      <c r="W277" s="154"/>
      <c r="X277" s="154"/>
      <c r="Y277" s="155" t="str">
        <f t="shared" si="536"/>
        <v/>
      </c>
      <c r="Z277" s="154"/>
      <c r="AA277" s="154"/>
      <c r="AB277" s="154"/>
      <c r="AC277" s="156" t="str">
        <f t="shared" si="542"/>
        <v/>
      </c>
      <c r="AD277" s="157" t="str">
        <f t="shared" si="537"/>
        <v/>
      </c>
      <c r="AE277" s="158" t="str">
        <f t="shared" si="538"/>
        <v/>
      </c>
      <c r="AF277" s="157" t="str">
        <f t="shared" si="539"/>
        <v/>
      </c>
      <c r="AG277" s="158" t="str">
        <f t="shared" si="543"/>
        <v/>
      </c>
      <c r="AH277" s="159" t="str">
        <f t="shared" ref="AH277:AH278" si="544">IFERROR(IF(OR(AND(AD277="Muy Baja",AF277="Leve"),AND(AD277="Muy Baja",AF277="Menor"),AND(AD277="Baja",AF277="Leve")),"Bajo",IF(OR(AND(AD277="Muy baja",AF277="Moderado"),AND(AD277="Baja",AF277="Menor"),AND(AD277="Baja",AF277="Moderado"),AND(AD277="Media",AF277="Leve"),AND(AD277="Media",AF277="Menor"),AND(AD277="Media",AF277="Moderado"),AND(AD277="Alta",AF277="Leve"),AND(AD277="Alta",AF277="Menor")),"Moderado",IF(OR(AND(AD277="Muy Baja",AF277="Mayor"),AND(AD277="Baja",AF277="Mayor"),AND(AD277="Media",AF277="Mayor"),AND(AD277="Alta",AF277="Moderado"),AND(AD277="Alta",AF277="Mayor"),AND(AD277="Muy Alta",AF277="Leve"),AND(AD277="Muy Alta",AF277="Menor"),AND(AD277="Muy Alta",AF277="Moderado"),AND(AD277="Muy Alta",AF277="Mayor")),"Alto",IF(OR(AND(AD277="Muy Baja",AF277="Catastrófico"),AND(AD277="Baja",AF277="Catastrófico"),AND(AD277="Media",AF277="Catastrófico"),AND(AD277="Alta",AF277="Catastrófico"),AND(AD277="Muy Alta",AF277="Catastrófico")),"Extremo","")))),"")</f>
        <v/>
      </c>
      <c r="AI277" s="161"/>
      <c r="AJ277" s="181"/>
      <c r="AK277" s="185"/>
      <c r="AL277" s="187"/>
      <c r="AM277" s="195"/>
      <c r="AN277" s="183"/>
      <c r="AO277" s="190"/>
      <c r="AP277" s="190"/>
    </row>
    <row r="278" spans="1:73" ht="15" customHeight="1" x14ac:dyDescent="0.2">
      <c r="A278" s="214"/>
      <c r="B278" s="241"/>
      <c r="C278" s="241"/>
      <c r="D278" s="183"/>
      <c r="E278" s="197"/>
      <c r="F278" s="197"/>
      <c r="G278" s="197"/>
      <c r="H278" s="197"/>
      <c r="I278" s="289"/>
      <c r="J278" s="217"/>
      <c r="K278" s="197"/>
      <c r="L278" s="185"/>
      <c r="M278" s="205"/>
      <c r="N278" s="206"/>
      <c r="O278" s="203"/>
      <c r="P278" s="239">
        <f>IF(NOT(ISERROR(MATCH(O278,_xlfn.ANCHORARRAY(#REF!),0))),N281&amp;"Por favor no seleccionar los criterios de impacto",O278)</f>
        <v>0</v>
      </c>
      <c r="Q278" s="205"/>
      <c r="R278" s="206"/>
      <c r="S278" s="207"/>
      <c r="T278" s="152">
        <v>6</v>
      </c>
      <c r="U278" s="160"/>
      <c r="V278" s="153" t="str">
        <f t="shared" si="541"/>
        <v/>
      </c>
      <c r="W278" s="154"/>
      <c r="X278" s="154"/>
      <c r="Y278" s="155" t="str">
        <f t="shared" si="536"/>
        <v/>
      </c>
      <c r="Z278" s="154"/>
      <c r="AA278" s="154"/>
      <c r="AB278" s="154"/>
      <c r="AC278" s="156" t="str">
        <f t="shared" si="542"/>
        <v/>
      </c>
      <c r="AD278" s="157" t="str">
        <f t="shared" si="537"/>
        <v/>
      </c>
      <c r="AE278" s="158" t="str">
        <f t="shared" si="538"/>
        <v/>
      </c>
      <c r="AF278" s="157" t="str">
        <f t="shared" si="539"/>
        <v/>
      </c>
      <c r="AG278" s="158" t="str">
        <f t="shared" si="543"/>
        <v/>
      </c>
      <c r="AH278" s="159" t="str">
        <f t="shared" si="544"/>
        <v/>
      </c>
      <c r="AI278" s="161"/>
      <c r="AJ278" s="181"/>
      <c r="AK278" s="185"/>
      <c r="AL278" s="187"/>
      <c r="AM278" s="195"/>
      <c r="AN278" s="183"/>
      <c r="AO278" s="191"/>
      <c r="AP278" s="191"/>
    </row>
    <row r="279" spans="1:73" ht="181.5" customHeight="1" x14ac:dyDescent="0.2">
      <c r="A279" s="214">
        <v>48</v>
      </c>
      <c r="B279" s="241" t="s">
        <v>247</v>
      </c>
      <c r="C279" s="241" t="s">
        <v>635</v>
      </c>
      <c r="D279" s="183" t="s">
        <v>266</v>
      </c>
      <c r="E279" s="197" t="s">
        <v>743</v>
      </c>
      <c r="F279" s="197" t="s">
        <v>744</v>
      </c>
      <c r="G279" s="197" t="s">
        <v>745</v>
      </c>
      <c r="H279" s="197" t="s">
        <v>746</v>
      </c>
      <c r="I279" s="289" t="s">
        <v>747</v>
      </c>
      <c r="J279" s="217" t="s">
        <v>230</v>
      </c>
      <c r="K279" s="269" t="s">
        <v>227</v>
      </c>
      <c r="L279" s="185">
        <v>5000</v>
      </c>
      <c r="M279" s="205" t="str">
        <f t="shared" ref="M279" si="545">IF(L279&lt;=0,"",IF(L279&lt;=2,"Muy Baja",IF(L279&lt;=24,"Baja",IF(L279&lt;=500,"Media",IF(L279&lt;=5000,"Alta","Muy Alta")))))</f>
        <v>Alta</v>
      </c>
      <c r="N279" s="206">
        <f t="shared" ref="N279" si="546">IF(M279="","",IF(M279="Muy Baja",0.2,IF(M279="Baja",0.4,IF(M279="Media",0.6,IF(M279="Alta",0.8,IF(M279="Muy Alta",1,))))))</f>
        <v>0.8</v>
      </c>
      <c r="O279" s="203" t="s">
        <v>135</v>
      </c>
      <c r="P279" s="239" t="str">
        <f>IF(NOT(ISERROR(MATCH(O279,'Tabla Impacto'!$B$221:$B$223,0))),'Tabla Impacto'!$F$223&amp;"Por favor no seleccionar los criterios de impacto(Afectación Económica o presupuestal y Pérdida Reputacional)",O279)</f>
        <v xml:space="preserve">     El riesgo afecta la imagen de de la entidad con efecto publicitario sostenido a nivel de sector administrativo, nivel departamental o municipal</v>
      </c>
      <c r="Q279" s="205" t="str">
        <f>IF(OR(P279='Tabla Impacto'!$C$11,P279='Tabla Impacto'!$D$11),"Leve",IF(OR(P279='Tabla Impacto'!$C$12,P279='Tabla Impacto'!$D$12),"Menor",IF(OR(P279='Tabla Impacto'!$C$13,P279='Tabla Impacto'!$D$13),"Moderado",IF(OR(P279='Tabla Impacto'!$C$14,P279='Tabla Impacto'!$D$14),"Mayor",IF(OR(P279='Tabla Impacto'!$C$15,P279='Tabla Impacto'!$D$15),"Catastrófico","")))))</f>
        <v>Mayor</v>
      </c>
      <c r="R279" s="206">
        <f t="shared" ref="R279" si="547">IF(Q279="","",IF(Q279="Leve",0.2,IF(Q279="Menor",0.4,IF(Q279="Moderado",0.6,IF(Q279="Mayor",0.8,IF(Q279="Catastrófico",1,))))))</f>
        <v>0.8</v>
      </c>
      <c r="S279" s="207" t="str">
        <f t="shared" ref="S279" si="548">IF(OR(AND(M279="Muy Baja",Q279="Leve"),AND(M279="Muy Baja",Q279="Menor"),AND(M279="Baja",Q279="Leve")),"Bajo",IF(OR(AND(M279="Muy baja",Q279="Moderado"),AND(M279="Baja",Q279="Menor"),AND(M279="Baja",Q279="Moderado"),AND(M279="Media",Q279="Leve"),AND(M279="Media",Q279="Menor"),AND(M279="Media",Q279="Moderado"),AND(M279="Alta",Q279="Leve"),AND(M279="Alta",Q279="Menor")),"Moderado",IF(OR(AND(M279="Muy Baja",Q279="Mayor"),AND(M279="Baja",Q279="Mayor"),AND(M279="Media",Q279="Mayor"),AND(M279="Alta",Q279="Moderado"),AND(M279="Alta",Q279="Mayor"),AND(M279="Muy Alta",Q279="Leve"),AND(M279="Muy Alta",Q279="Menor"),AND(M279="Muy Alta",Q279="Moderado"),AND(M279="Muy Alta",Q279="Mayor")),"Alto",IF(OR(AND(M279="Muy Baja",Q279="Catastrófico"),AND(M279="Baja",Q279="Catastrófico"),AND(M279="Media",Q279="Catastrófico"),AND(M279="Alta",Q279="Catastrófico"),AND(M279="Muy Alta",Q279="Catastrófico")),"Extremo",""))))</f>
        <v>Alto</v>
      </c>
      <c r="T279" s="152">
        <v>1</v>
      </c>
      <c r="U279" s="141" t="s">
        <v>748</v>
      </c>
      <c r="V279" s="153" t="str">
        <f>IF(OR(W279="Preventivo",W279="Detectivo"),"Probabilidad",IF(W279="Correctivo","Impacto",""))</f>
        <v>Probabilidad</v>
      </c>
      <c r="W279" s="154" t="s">
        <v>13</v>
      </c>
      <c r="X279" s="154" t="s">
        <v>8</v>
      </c>
      <c r="Y279" s="155" t="str">
        <f>IF(AND(W279="Preventivo",X279="Automático"),"50%",IF(AND(W279="Preventivo",X279="Manual"),"40%",IF(AND(W279="Detectivo",X279="Automático"),"40%",IF(AND(W279="Detectivo",X279="Manual"),"30%",IF(AND(W279="Correctivo",X279="Automático"),"35%",IF(AND(W279="Correctivo",X279="Manual"),"25%",""))))))</f>
        <v>40%</v>
      </c>
      <c r="Z279" s="154" t="s">
        <v>18</v>
      </c>
      <c r="AA279" s="154" t="s">
        <v>21</v>
      </c>
      <c r="AB279" s="154" t="s">
        <v>112</v>
      </c>
      <c r="AC279" s="156">
        <f>IFERROR(IF(V279="Probabilidad",(N279-(+N279*Y279)),IF(V279="Impacto",N279,"")),"")</f>
        <v>0.48</v>
      </c>
      <c r="AD279" s="157" t="str">
        <f>IFERROR(IF(AC279="","",IF(AC279&lt;=0.2,"Muy Baja",IF(AC279&lt;=0.4,"Baja",IF(AC279&lt;=0.6,"Media",IF(AC279&lt;=0.8,"Alta","Muy Alta"))))),"")</f>
        <v>Media</v>
      </c>
      <c r="AE279" s="158">
        <f>+AC279</f>
        <v>0.48</v>
      </c>
      <c r="AF279" s="157" t="str">
        <f>IFERROR(IF(AG279="","",IF(AG279&lt;=0.2,"Leve",IF(AG279&lt;=0.4,"Menor",IF(AG279&lt;=0.6,"Moderado",IF(AG279&lt;=0.8,"Mayor","Catastrófico"))))),"")</f>
        <v>Mayor</v>
      </c>
      <c r="AG279" s="158">
        <f>IFERROR(IF(V279="Impacto",(R279-(+R279*Y279)),IF(V279="Probabilidad",R279,"")),"")</f>
        <v>0.8</v>
      </c>
      <c r="AH279" s="159" t="str">
        <f>IFERROR(IF(OR(AND(AD279="Muy Baja",AF279="Leve"),AND(AD279="Muy Baja",AF279="Menor"),AND(AD279="Baja",AF279="Leve")),"Bajo",IF(OR(AND(AD279="Muy baja",AF279="Moderado"),AND(AD279="Baja",AF279="Menor"),AND(AD279="Baja",AF279="Moderado"),AND(AD279="Media",AF279="Leve"),AND(AD279="Media",AF279="Menor"),AND(AD279="Media",AF279="Moderado"),AND(AD279="Alta",AF279="Leve"),AND(AD279="Alta",AF279="Menor")),"Moderado",IF(OR(AND(AD279="Muy Baja",AF279="Mayor"),AND(AD279="Baja",AF279="Mayor"),AND(AD279="Media",AF279="Mayor"),AND(AD279="Alta",AF279="Moderado"),AND(AD279="Alta",AF279="Mayor"),AND(AD279="Muy Alta",AF279="Leve"),AND(AD279="Muy Alta",AF279="Menor"),AND(AD279="Muy Alta",AF279="Moderado"),AND(AD279="Muy Alta",AF279="Mayor")),"Alto",IF(OR(AND(AD279="Muy Baja",AF279="Catastrófico"),AND(AD279="Baja",AF279="Catastrófico"),AND(AD279="Media",AF279="Catastrófico"),AND(AD279="Alta",AF279="Catastrófico"),AND(AD279="Muy Alta",AF279="Catastrófico")),"Extremo","")))),"")</f>
        <v>Alto</v>
      </c>
      <c r="AI279" s="161" t="s">
        <v>117</v>
      </c>
      <c r="AJ279" s="181" t="s">
        <v>750</v>
      </c>
      <c r="AK279" s="185" t="s">
        <v>207</v>
      </c>
      <c r="AL279" s="187">
        <v>45293</v>
      </c>
      <c r="AM279" s="195">
        <v>45657</v>
      </c>
      <c r="AN279" s="183" t="s">
        <v>284</v>
      </c>
      <c r="AO279" s="192" t="s">
        <v>269</v>
      </c>
      <c r="AP279" s="181" t="s">
        <v>751</v>
      </c>
      <c r="AQ279" s="10"/>
      <c r="AR279" s="10"/>
      <c r="AS279" s="10"/>
      <c r="AT279" s="10"/>
      <c r="AU279" s="10"/>
      <c r="AV279" s="10"/>
      <c r="AW279" s="10"/>
      <c r="AX279" s="10"/>
      <c r="AY279" s="10"/>
      <c r="AZ279" s="10"/>
      <c r="BA279" s="10"/>
      <c r="BB279" s="10"/>
      <c r="BC279" s="10"/>
      <c r="BD279" s="10"/>
      <c r="BE279" s="10"/>
      <c r="BF279" s="10"/>
      <c r="BG279" s="10"/>
      <c r="BH279" s="10"/>
      <c r="BI279" s="10"/>
      <c r="BJ279" s="10"/>
      <c r="BK279" s="10"/>
      <c r="BL279" s="10"/>
      <c r="BM279" s="10"/>
      <c r="BN279" s="10"/>
      <c r="BO279" s="10"/>
      <c r="BP279" s="10"/>
      <c r="BQ279" s="10"/>
      <c r="BR279" s="10"/>
      <c r="BS279" s="10"/>
      <c r="BT279" s="10"/>
      <c r="BU279" s="10"/>
    </row>
    <row r="280" spans="1:73" ht="177" customHeight="1" x14ac:dyDescent="0.2">
      <c r="A280" s="214"/>
      <c r="B280" s="241"/>
      <c r="C280" s="241"/>
      <c r="D280" s="183"/>
      <c r="E280" s="197"/>
      <c r="F280" s="197"/>
      <c r="G280" s="197"/>
      <c r="H280" s="197"/>
      <c r="I280" s="289"/>
      <c r="J280" s="217"/>
      <c r="K280" s="269"/>
      <c r="L280" s="185"/>
      <c r="M280" s="205"/>
      <c r="N280" s="206"/>
      <c r="O280" s="203"/>
      <c r="P280" s="239">
        <f>IF(NOT(ISERROR(MATCH(O280,_xlfn.ANCHORARRAY(#REF!),0))),#REF!&amp;"Por favor no seleccionar los criterios de impacto",O280)</f>
        <v>0</v>
      </c>
      <c r="Q280" s="205"/>
      <c r="R280" s="206"/>
      <c r="S280" s="207"/>
      <c r="T280" s="152">
        <v>2</v>
      </c>
      <c r="U280" s="141" t="s">
        <v>749</v>
      </c>
      <c r="V280" s="153" t="str">
        <f>IF(OR(W280="Preventivo",W280="Detectivo"),"Probabilidad",IF(W280="Correctivo","Impacto",""))</f>
        <v>Probabilidad</v>
      </c>
      <c r="W280" s="154" t="s">
        <v>14</v>
      </c>
      <c r="X280" s="154" t="s">
        <v>8</v>
      </c>
      <c r="Y280" s="155" t="str">
        <f t="shared" ref="Y280:Y284" si="549">IF(AND(W280="Preventivo",X280="Automático"),"50%",IF(AND(W280="Preventivo",X280="Manual"),"40%",IF(AND(W280="Detectivo",X280="Automático"),"40%",IF(AND(W280="Detectivo",X280="Manual"),"30%",IF(AND(W280="Correctivo",X280="Automático"),"35%",IF(AND(W280="Correctivo",X280="Manual"),"25%",""))))))</f>
        <v>30%</v>
      </c>
      <c r="Z280" s="154" t="s">
        <v>18</v>
      </c>
      <c r="AA280" s="154" t="s">
        <v>21</v>
      </c>
      <c r="AB280" s="154" t="s">
        <v>112</v>
      </c>
      <c r="AC280" s="156">
        <f>IFERROR(IF(AND(V279="Probabilidad",V280="Probabilidad"),(AE279-(+AE279*Y280)),IF(V280="Probabilidad",(N279-(+N279*Y280)),IF(V280="Impacto",AE279,""))),"")</f>
        <v>0.33599999999999997</v>
      </c>
      <c r="AD280" s="157" t="str">
        <f t="shared" ref="AD280:AD284" si="550">IFERROR(IF(AC280="","",IF(AC280&lt;=0.2,"Muy Baja",IF(AC280&lt;=0.4,"Baja",IF(AC280&lt;=0.6,"Media",IF(AC280&lt;=0.8,"Alta","Muy Alta"))))),"")</f>
        <v>Baja</v>
      </c>
      <c r="AE280" s="158">
        <f t="shared" ref="AE280:AE284" si="551">+AC280</f>
        <v>0.33599999999999997</v>
      </c>
      <c r="AF280" s="157" t="str">
        <f t="shared" ref="AF280:AF284" si="552">IFERROR(IF(AG280="","",IF(AG280&lt;=0.2,"Leve",IF(AG280&lt;=0.4,"Menor",IF(AG280&lt;=0.6,"Moderado",IF(AG280&lt;=0.8,"Mayor","Catastrófico"))))),"")</f>
        <v>Mayor</v>
      </c>
      <c r="AG280" s="158">
        <f>IFERROR(IF(AND(V279="Impacto",V280="Impacto"),(AG279-(+AG279*Y280)),IF(V280="Impacto",(R279-(+R279*Y280)),IF(V280="Probabilidad",AG279,""))),"")</f>
        <v>0.8</v>
      </c>
      <c r="AH280" s="159" t="str">
        <f t="shared" ref="AH280:AH281" si="553">IFERROR(IF(OR(AND(AD280="Muy Baja",AF280="Leve"),AND(AD280="Muy Baja",AF280="Menor"),AND(AD280="Baja",AF280="Leve")),"Bajo",IF(OR(AND(AD280="Muy baja",AF280="Moderado"),AND(AD280="Baja",AF280="Menor"),AND(AD280="Baja",AF280="Moderado"),AND(AD280="Media",AF280="Leve"),AND(AD280="Media",AF280="Menor"),AND(AD280="Media",AF280="Moderado"),AND(AD280="Alta",AF280="Leve"),AND(AD280="Alta",AF280="Menor")),"Moderado",IF(OR(AND(AD280="Muy Baja",AF280="Mayor"),AND(AD280="Baja",AF280="Mayor"),AND(AD280="Media",AF280="Mayor"),AND(AD280="Alta",AF280="Moderado"),AND(AD280="Alta",AF280="Mayor"),AND(AD280="Muy Alta",AF280="Leve"),AND(AD280="Muy Alta",AF280="Menor"),AND(AD280="Muy Alta",AF280="Moderado"),AND(AD280="Muy Alta",AF280="Mayor")),"Alto",IF(OR(AND(AD280="Muy Baja",AF280="Catastrófico"),AND(AD280="Baja",AF280="Catastrófico"),AND(AD280="Media",AF280="Catastrófico"),AND(AD280="Alta",AF280="Catastrófico"),AND(AD280="Muy Alta",AF280="Catastrófico")),"Extremo","")))),"")</f>
        <v>Alto</v>
      </c>
      <c r="AI280" s="161" t="s">
        <v>117</v>
      </c>
      <c r="AJ280" s="181"/>
      <c r="AK280" s="185"/>
      <c r="AL280" s="187"/>
      <c r="AM280" s="195"/>
      <c r="AN280" s="183"/>
      <c r="AO280" s="192"/>
      <c r="AP280" s="181"/>
    </row>
    <row r="281" spans="1:73" ht="15" customHeight="1" x14ac:dyDescent="0.2">
      <c r="A281" s="214"/>
      <c r="B281" s="241"/>
      <c r="C281" s="241"/>
      <c r="D281" s="183"/>
      <c r="E281" s="197"/>
      <c r="F281" s="197"/>
      <c r="G281" s="197"/>
      <c r="H281" s="197"/>
      <c r="I281" s="289"/>
      <c r="J281" s="217"/>
      <c r="K281" s="269"/>
      <c r="L281" s="185"/>
      <c r="M281" s="205"/>
      <c r="N281" s="206"/>
      <c r="O281" s="203"/>
      <c r="P281" s="239">
        <f>IF(NOT(ISERROR(MATCH(O281,_xlfn.ANCHORARRAY(#REF!),0))),#REF!&amp;"Por favor no seleccionar los criterios de impacto",O281)</f>
        <v>0</v>
      </c>
      <c r="Q281" s="205"/>
      <c r="R281" s="206"/>
      <c r="S281" s="207"/>
      <c r="T281" s="152">
        <v>3</v>
      </c>
      <c r="U281" s="167"/>
      <c r="V281" s="153" t="str">
        <f>IF(OR(W281="Preventivo",W281="Detectivo"),"Probabilidad",IF(W281="Correctivo","Impacto",""))</f>
        <v/>
      </c>
      <c r="W281" s="154"/>
      <c r="X281" s="154"/>
      <c r="Y281" s="155" t="str">
        <f t="shared" si="549"/>
        <v/>
      </c>
      <c r="Z281" s="154"/>
      <c r="AA281" s="154"/>
      <c r="AB281" s="154"/>
      <c r="AC281" s="156" t="str">
        <f>IFERROR(IF(AND(V280="Probabilidad",V281="Probabilidad"),(AE280-(+AE280*Y281)),IF(AND(V280="Impacto",V281="Probabilidad"),(AE279-(+AE279*Y281)),IF(V281="Impacto",AE280,""))),"")</f>
        <v/>
      </c>
      <c r="AD281" s="157" t="str">
        <f t="shared" si="550"/>
        <v/>
      </c>
      <c r="AE281" s="158" t="str">
        <f t="shared" si="551"/>
        <v/>
      </c>
      <c r="AF281" s="157" t="str">
        <f t="shared" si="552"/>
        <v/>
      </c>
      <c r="AG281" s="158" t="str">
        <f>IFERROR(IF(AND(V280="Impacto",V281="Impacto"),(AG280-(+AG280*Y281)),IF(AND(V280="Probabilidad",V281="Impacto"),(AG279-(+AG279*Y281)),IF(V281="Probabilidad",AG280,""))),"")</f>
        <v/>
      </c>
      <c r="AH281" s="159" t="str">
        <f t="shared" si="553"/>
        <v/>
      </c>
      <c r="AI281" s="161"/>
      <c r="AJ281" s="181"/>
      <c r="AK281" s="185"/>
      <c r="AL281" s="187"/>
      <c r="AM281" s="195"/>
      <c r="AN281" s="183"/>
      <c r="AO281" s="192"/>
      <c r="AP281" s="181"/>
    </row>
    <row r="282" spans="1:73" ht="15" customHeight="1" x14ac:dyDescent="0.2">
      <c r="A282" s="214"/>
      <c r="B282" s="241"/>
      <c r="C282" s="241"/>
      <c r="D282" s="183"/>
      <c r="E282" s="197"/>
      <c r="F282" s="197"/>
      <c r="G282" s="197"/>
      <c r="H282" s="197"/>
      <c r="I282" s="289"/>
      <c r="J282" s="217"/>
      <c r="K282" s="269"/>
      <c r="L282" s="185"/>
      <c r="M282" s="205"/>
      <c r="N282" s="206"/>
      <c r="O282" s="203"/>
      <c r="P282" s="239">
        <f>IF(NOT(ISERROR(MATCH(O282,_xlfn.ANCHORARRAY(#REF!),0))),#REF!&amp;"Por favor no seleccionar los criterios de impacto",O282)</f>
        <v>0</v>
      </c>
      <c r="Q282" s="205"/>
      <c r="R282" s="206"/>
      <c r="S282" s="207"/>
      <c r="T282" s="152">
        <v>4</v>
      </c>
      <c r="U282" s="160"/>
      <c r="V282" s="153" t="str">
        <f t="shared" ref="V282:V284" si="554">IF(OR(W282="Preventivo",W282="Detectivo"),"Probabilidad",IF(W282="Correctivo","Impacto",""))</f>
        <v/>
      </c>
      <c r="W282" s="154"/>
      <c r="X282" s="154"/>
      <c r="Y282" s="155" t="str">
        <f t="shared" si="549"/>
        <v/>
      </c>
      <c r="Z282" s="154"/>
      <c r="AA282" s="154"/>
      <c r="AB282" s="154"/>
      <c r="AC282" s="156" t="str">
        <f t="shared" ref="AC282:AC284" si="555">IFERROR(IF(AND(V281="Probabilidad",V282="Probabilidad"),(AE281-(+AE281*Y282)),IF(AND(V281="Impacto",V282="Probabilidad"),(AE280-(+AE280*Y282)),IF(V282="Impacto",AE281,""))),"")</f>
        <v/>
      </c>
      <c r="AD282" s="157" t="str">
        <f t="shared" si="550"/>
        <v/>
      </c>
      <c r="AE282" s="158" t="str">
        <f t="shared" si="551"/>
        <v/>
      </c>
      <c r="AF282" s="157" t="str">
        <f t="shared" si="552"/>
        <v/>
      </c>
      <c r="AG282" s="158" t="str">
        <f t="shared" ref="AG282:AG284" si="556">IFERROR(IF(AND(V281="Impacto",V282="Impacto"),(AG281-(+AG281*Y282)),IF(AND(V281="Probabilidad",V282="Impacto"),(AG280-(+AG280*Y282)),IF(V282="Probabilidad",AG281,""))),"")</f>
        <v/>
      </c>
      <c r="AH282" s="159" t="str">
        <f>IFERROR(IF(OR(AND(AD282="Muy Baja",AF282="Leve"),AND(AD282="Muy Baja",AF282="Menor"),AND(AD282="Baja",AF282="Leve")),"Bajo",IF(OR(AND(AD282="Muy baja",AF282="Moderado"),AND(AD282="Baja",AF282="Menor"),AND(AD282="Baja",AF282="Moderado"),AND(AD282="Media",AF282="Leve"),AND(AD282="Media",AF282="Menor"),AND(AD282="Media",AF282="Moderado"),AND(AD282="Alta",AF282="Leve"),AND(AD282="Alta",AF282="Menor")),"Moderado",IF(OR(AND(AD282="Muy Baja",AF282="Mayor"),AND(AD282="Baja",AF282="Mayor"),AND(AD282="Media",AF282="Mayor"),AND(AD282="Alta",AF282="Moderado"),AND(AD282="Alta",AF282="Mayor"),AND(AD282="Muy Alta",AF282="Leve"),AND(AD282="Muy Alta",AF282="Menor"),AND(AD282="Muy Alta",AF282="Moderado"),AND(AD282="Muy Alta",AF282="Mayor")),"Alto",IF(OR(AND(AD282="Muy Baja",AF282="Catastrófico"),AND(AD282="Baja",AF282="Catastrófico"),AND(AD282="Media",AF282="Catastrófico"),AND(AD282="Alta",AF282="Catastrófico"),AND(AD282="Muy Alta",AF282="Catastrófico")),"Extremo","")))),"")</f>
        <v/>
      </c>
      <c r="AI282" s="161"/>
      <c r="AJ282" s="181"/>
      <c r="AK282" s="185"/>
      <c r="AL282" s="187"/>
      <c r="AM282" s="195"/>
      <c r="AN282" s="183"/>
      <c r="AO282" s="192"/>
      <c r="AP282" s="181"/>
    </row>
    <row r="283" spans="1:73" ht="15" customHeight="1" x14ac:dyDescent="0.2">
      <c r="A283" s="214"/>
      <c r="B283" s="241"/>
      <c r="C283" s="241"/>
      <c r="D283" s="183"/>
      <c r="E283" s="197"/>
      <c r="F283" s="197"/>
      <c r="G283" s="197"/>
      <c r="H283" s="197"/>
      <c r="I283" s="289"/>
      <c r="J283" s="217"/>
      <c r="K283" s="269"/>
      <c r="L283" s="185"/>
      <c r="M283" s="205"/>
      <c r="N283" s="206"/>
      <c r="O283" s="203"/>
      <c r="P283" s="239">
        <f>IF(NOT(ISERROR(MATCH(O283,_xlfn.ANCHORARRAY(#REF!),0))),N286&amp;"Por favor no seleccionar los criterios de impacto",O283)</f>
        <v>0</v>
      </c>
      <c r="Q283" s="205"/>
      <c r="R283" s="206"/>
      <c r="S283" s="207"/>
      <c r="T283" s="152">
        <v>5</v>
      </c>
      <c r="U283" s="160"/>
      <c r="V283" s="153" t="str">
        <f t="shared" si="554"/>
        <v/>
      </c>
      <c r="W283" s="154"/>
      <c r="X283" s="154"/>
      <c r="Y283" s="155" t="str">
        <f t="shared" si="549"/>
        <v/>
      </c>
      <c r="Z283" s="154"/>
      <c r="AA283" s="154"/>
      <c r="AB283" s="154"/>
      <c r="AC283" s="156" t="str">
        <f t="shared" si="555"/>
        <v/>
      </c>
      <c r="AD283" s="157" t="str">
        <f t="shared" si="550"/>
        <v/>
      </c>
      <c r="AE283" s="158" t="str">
        <f t="shared" si="551"/>
        <v/>
      </c>
      <c r="AF283" s="157" t="str">
        <f t="shared" si="552"/>
        <v/>
      </c>
      <c r="AG283" s="158" t="str">
        <f t="shared" si="556"/>
        <v/>
      </c>
      <c r="AH283" s="159" t="str">
        <f t="shared" ref="AH283:AH284" si="557">IFERROR(IF(OR(AND(AD283="Muy Baja",AF283="Leve"),AND(AD283="Muy Baja",AF283="Menor"),AND(AD283="Baja",AF283="Leve")),"Bajo",IF(OR(AND(AD283="Muy baja",AF283="Moderado"),AND(AD283="Baja",AF283="Menor"),AND(AD283="Baja",AF283="Moderado"),AND(AD283="Media",AF283="Leve"),AND(AD283="Media",AF283="Menor"),AND(AD283="Media",AF283="Moderado"),AND(AD283="Alta",AF283="Leve"),AND(AD283="Alta",AF283="Menor")),"Moderado",IF(OR(AND(AD283="Muy Baja",AF283="Mayor"),AND(AD283="Baja",AF283="Mayor"),AND(AD283="Media",AF283="Mayor"),AND(AD283="Alta",AF283="Moderado"),AND(AD283="Alta",AF283="Mayor"),AND(AD283="Muy Alta",AF283="Leve"),AND(AD283="Muy Alta",AF283="Menor"),AND(AD283="Muy Alta",AF283="Moderado"),AND(AD283="Muy Alta",AF283="Mayor")),"Alto",IF(OR(AND(AD283="Muy Baja",AF283="Catastrófico"),AND(AD283="Baja",AF283="Catastrófico"),AND(AD283="Media",AF283="Catastrófico"),AND(AD283="Alta",AF283="Catastrófico"),AND(AD283="Muy Alta",AF283="Catastrófico")),"Extremo","")))),"")</f>
        <v/>
      </c>
      <c r="AI283" s="161"/>
      <c r="AJ283" s="181"/>
      <c r="AK283" s="185"/>
      <c r="AL283" s="187"/>
      <c r="AM283" s="195"/>
      <c r="AN283" s="183"/>
      <c r="AO283" s="192"/>
      <c r="AP283" s="181"/>
    </row>
    <row r="284" spans="1:73" ht="15" customHeight="1" x14ac:dyDescent="0.2">
      <c r="A284" s="214"/>
      <c r="B284" s="241"/>
      <c r="C284" s="241"/>
      <c r="D284" s="183"/>
      <c r="E284" s="197"/>
      <c r="F284" s="197"/>
      <c r="G284" s="197"/>
      <c r="H284" s="197"/>
      <c r="I284" s="289"/>
      <c r="J284" s="217"/>
      <c r="K284" s="269"/>
      <c r="L284" s="185"/>
      <c r="M284" s="205"/>
      <c r="N284" s="206"/>
      <c r="O284" s="203"/>
      <c r="P284" s="239">
        <f>IF(NOT(ISERROR(MATCH(O284,_xlfn.ANCHORARRAY(#REF!),0))),N287&amp;"Por favor no seleccionar los criterios de impacto",O284)</f>
        <v>0</v>
      </c>
      <c r="Q284" s="205"/>
      <c r="R284" s="206"/>
      <c r="S284" s="207"/>
      <c r="T284" s="152">
        <v>6</v>
      </c>
      <c r="U284" s="160"/>
      <c r="V284" s="153" t="str">
        <f t="shared" si="554"/>
        <v/>
      </c>
      <c r="W284" s="154"/>
      <c r="X284" s="154"/>
      <c r="Y284" s="155" t="str">
        <f t="shared" si="549"/>
        <v/>
      </c>
      <c r="Z284" s="154"/>
      <c r="AA284" s="154"/>
      <c r="AB284" s="154"/>
      <c r="AC284" s="156" t="str">
        <f t="shared" si="555"/>
        <v/>
      </c>
      <c r="AD284" s="157" t="str">
        <f t="shared" si="550"/>
        <v/>
      </c>
      <c r="AE284" s="158" t="str">
        <f t="shared" si="551"/>
        <v/>
      </c>
      <c r="AF284" s="157" t="str">
        <f t="shared" si="552"/>
        <v/>
      </c>
      <c r="AG284" s="158" t="str">
        <f t="shared" si="556"/>
        <v/>
      </c>
      <c r="AH284" s="159" t="str">
        <f t="shared" si="557"/>
        <v/>
      </c>
      <c r="AI284" s="161"/>
      <c r="AJ284" s="181"/>
      <c r="AK284" s="185"/>
      <c r="AL284" s="187"/>
      <c r="AM284" s="195"/>
      <c r="AN284" s="183"/>
      <c r="AO284" s="192"/>
      <c r="AP284" s="181"/>
    </row>
    <row r="285" spans="1:73" ht="105" customHeight="1" x14ac:dyDescent="0.2">
      <c r="A285" s="214">
        <v>49</v>
      </c>
      <c r="B285" s="241" t="s">
        <v>249</v>
      </c>
      <c r="C285" s="241" t="s">
        <v>752</v>
      </c>
      <c r="D285" s="291" t="s">
        <v>266</v>
      </c>
      <c r="E285" s="181" t="s">
        <v>753</v>
      </c>
      <c r="F285" s="181" t="s">
        <v>754</v>
      </c>
      <c r="G285" s="181" t="s">
        <v>755</v>
      </c>
      <c r="H285" s="197" t="s">
        <v>756</v>
      </c>
      <c r="I285" s="197" t="s">
        <v>757</v>
      </c>
      <c r="J285" s="217" t="s">
        <v>237</v>
      </c>
      <c r="K285" s="183" t="s">
        <v>242</v>
      </c>
      <c r="L285" s="185">
        <v>25</v>
      </c>
      <c r="M285" s="205" t="str">
        <f t="shared" ref="M285" si="558">IF(L285&lt;=0,"",IF(L285&lt;=2,"Muy Baja",IF(L285&lt;=24,"Baja",IF(L285&lt;=500,"Media",IF(L285&lt;=5000,"Alta","Muy Alta")))))</f>
        <v>Media</v>
      </c>
      <c r="N285" s="206">
        <f t="shared" ref="N285" si="559">IF(M285="","",IF(M285="Muy Baja",0.2,IF(M285="Baja",0.4,IF(M285="Media",0.6,IF(M285="Alta",0.8,IF(M285="Muy Alta",1,))))))</f>
        <v>0.6</v>
      </c>
      <c r="O285" s="211" t="s">
        <v>136</v>
      </c>
      <c r="P285" s="239" t="str">
        <f>IF(NOT(ISERROR(MATCH(O285,'Tabla Impacto'!$B$221:$B$223,0))),'Tabla Impacto'!$F$223&amp;"Por favor no seleccionar los criterios de impacto(Afectación Económica o presupuestal y Pérdida Reputacional)",O285)</f>
        <v xml:space="preserve">     El riesgo afecta la imagen de la entidad a nivel nacional, con efecto publicitarios sostenible a nivel país</v>
      </c>
      <c r="Q285" s="205" t="str">
        <f>IF(OR(P285='Tabla Impacto'!$C$11,P285='Tabla Impacto'!$D$11),"Leve",IF(OR(P285='Tabla Impacto'!$C$12,P285='Tabla Impacto'!$D$12),"Menor",IF(OR(P285='Tabla Impacto'!$C$13,P285='Tabla Impacto'!$D$13),"Moderado",IF(OR(P285='Tabla Impacto'!$C$14,P285='Tabla Impacto'!$D$14),"Mayor",IF(OR(P285='Tabla Impacto'!$C$15,P285='Tabla Impacto'!$D$15),"Catastrófico","")))))</f>
        <v>Catastrófico</v>
      </c>
      <c r="R285" s="206">
        <f t="shared" ref="R285" si="560">IF(Q285="","",IF(Q285="Leve",0.2,IF(Q285="Menor",0.4,IF(Q285="Moderado",0.6,IF(Q285="Mayor",0.8,IF(Q285="Catastrófico",1,))))))</f>
        <v>1</v>
      </c>
      <c r="S285" s="207" t="str">
        <f t="shared" ref="S285" si="561">IF(OR(AND(M285="Muy Baja",Q285="Leve"),AND(M285="Muy Baja",Q285="Menor"),AND(M285="Baja",Q285="Leve")),"Bajo",IF(OR(AND(M285="Muy baja",Q285="Moderado"),AND(M285="Baja",Q285="Menor"),AND(M285="Baja",Q285="Moderado"),AND(M285="Media",Q285="Leve"),AND(M285="Media",Q285="Menor"),AND(M285="Media",Q285="Moderado"),AND(M285="Alta",Q285="Leve"),AND(M285="Alta",Q285="Menor")),"Moderado",IF(OR(AND(M285="Muy Baja",Q285="Mayor"),AND(M285="Baja",Q285="Mayor"),AND(M285="Media",Q285="Mayor"),AND(M285="Alta",Q285="Moderado"),AND(M285="Alta",Q285="Mayor"),AND(M285="Muy Alta",Q285="Leve"),AND(M285="Muy Alta",Q285="Menor"),AND(M285="Muy Alta",Q285="Moderado"),AND(M285="Muy Alta",Q285="Mayor")),"Alto",IF(OR(AND(M285="Muy Baja",Q285="Catastrófico"),AND(M285="Baja",Q285="Catastrófico"),AND(M285="Media",Q285="Catastrófico"),AND(M285="Alta",Q285="Catastrófico"),AND(M285="Muy Alta",Q285="Catastrófico")),"Extremo",""))))</f>
        <v>Extremo</v>
      </c>
      <c r="T285" s="152">
        <v>1</v>
      </c>
      <c r="U285" s="173" t="s">
        <v>763</v>
      </c>
      <c r="V285" s="153" t="str">
        <f>IF(OR(W285="Preventivo",W285="Detectivo"),"Probabilidad",IF(W285="Correctivo","Impacto",""))</f>
        <v>Probabilidad</v>
      </c>
      <c r="W285" s="145" t="s">
        <v>13</v>
      </c>
      <c r="X285" s="145" t="s">
        <v>8</v>
      </c>
      <c r="Y285" s="155" t="str">
        <f>IF(AND(W285="Preventivo",X285="Automático"),"50%",IF(AND(W285="Preventivo",X285="Manual"),"40%",IF(AND(W285="Detectivo",X285="Automático"),"40%",IF(AND(W285="Detectivo",X285="Manual"),"30%",IF(AND(W285="Correctivo",X285="Automático"),"35%",IF(AND(W285="Correctivo",X285="Manual"),"25%",""))))))</f>
        <v>40%</v>
      </c>
      <c r="Z285" s="145" t="s">
        <v>18</v>
      </c>
      <c r="AA285" s="145" t="s">
        <v>21</v>
      </c>
      <c r="AB285" s="145" t="s">
        <v>112</v>
      </c>
      <c r="AC285" s="156">
        <f>IFERROR(IF(V285="Probabilidad",(N285-(+N285*Y285)),IF(V285="Impacto",N285,"")),"")</f>
        <v>0.36</v>
      </c>
      <c r="AD285" s="157" t="str">
        <f>IFERROR(IF(AC285="","",IF(AC285&lt;=0.2,"Muy Baja",IF(AC285&lt;=0.4,"Baja",IF(AC285&lt;=0.6,"Media",IF(AC285&lt;=0.8,"Alta","Muy Alta"))))),"")</f>
        <v>Baja</v>
      </c>
      <c r="AE285" s="158">
        <f>+AC285</f>
        <v>0.36</v>
      </c>
      <c r="AF285" s="157" t="str">
        <f>IFERROR(IF(AG285="","",IF(AG285&lt;=0.2,"Leve",IF(AG285&lt;=0.4,"Menor",IF(AG285&lt;=0.6,"Moderado",IF(AG285&lt;=0.8,"Mayor","Catastrófico"))))),"")</f>
        <v>Catastrófico</v>
      </c>
      <c r="AG285" s="158">
        <f>IFERROR(IF(V285="Impacto",(R285-(+R285*Y285)),IF(V285="Probabilidad",R285,"")),"")</f>
        <v>1</v>
      </c>
      <c r="AH285" s="159" t="str">
        <f>IFERROR(IF(OR(AND(AD285="Muy Baja",AF285="Leve"),AND(AD285="Muy Baja",AF285="Menor"),AND(AD285="Baja",AF285="Leve")),"Bajo",IF(OR(AND(AD285="Muy baja",AF285="Moderado"),AND(AD285="Baja",AF285="Menor"),AND(AD285="Baja",AF285="Moderado"),AND(AD285="Media",AF285="Leve"),AND(AD285="Media",AF285="Menor"),AND(AD285="Media",AF285="Moderado"),AND(AD285="Alta",AF285="Leve"),AND(AD285="Alta",AF285="Menor")),"Moderado",IF(OR(AND(AD285="Muy Baja",AF285="Mayor"),AND(AD285="Baja",AF285="Mayor"),AND(AD285="Media",AF285="Mayor"),AND(AD285="Alta",AF285="Moderado"),AND(AD285="Alta",AF285="Mayor"),AND(AD285="Muy Alta",AF285="Leve"),AND(AD285="Muy Alta",AF285="Menor"),AND(AD285="Muy Alta",AF285="Moderado"),AND(AD285="Muy Alta",AF285="Mayor")),"Alto",IF(OR(AND(AD285="Muy Baja",AF285="Catastrófico"),AND(AD285="Baja",AF285="Catastrófico"),AND(AD285="Media",AF285="Catastrófico"),AND(AD285="Alta",AF285="Catastrófico"),AND(AD285="Muy Alta",AF285="Catastrófico")),"Extremo","")))),"")</f>
        <v>Extremo</v>
      </c>
      <c r="AI285" s="151" t="s">
        <v>117</v>
      </c>
      <c r="AJ285" s="181" t="s">
        <v>766</v>
      </c>
      <c r="AK285" s="185" t="s">
        <v>182</v>
      </c>
      <c r="AL285" s="187">
        <v>44928</v>
      </c>
      <c r="AM285" s="195">
        <v>45291</v>
      </c>
      <c r="AN285" s="183" t="s">
        <v>368</v>
      </c>
      <c r="AO285" s="192" t="s">
        <v>269</v>
      </c>
      <c r="AP285" s="181" t="s">
        <v>767</v>
      </c>
      <c r="AQ285" s="10"/>
      <c r="AR285" s="10"/>
      <c r="AS285" s="10"/>
      <c r="AT285" s="10"/>
      <c r="AU285" s="10"/>
      <c r="AV285" s="10"/>
      <c r="AW285" s="10"/>
      <c r="AX285" s="10"/>
      <c r="AY285" s="10"/>
      <c r="AZ285" s="10"/>
      <c r="BA285" s="10"/>
      <c r="BB285" s="10"/>
      <c r="BC285" s="10"/>
      <c r="BD285" s="10"/>
      <c r="BE285" s="10"/>
      <c r="BF285" s="10"/>
      <c r="BG285" s="10"/>
      <c r="BH285" s="10"/>
      <c r="BI285" s="10"/>
      <c r="BJ285" s="10"/>
      <c r="BK285" s="10"/>
      <c r="BL285" s="10"/>
      <c r="BM285" s="10"/>
      <c r="BN285" s="10"/>
      <c r="BO285" s="10"/>
      <c r="BP285" s="10"/>
      <c r="BQ285" s="10"/>
      <c r="BR285" s="10"/>
      <c r="BS285" s="10"/>
      <c r="BT285" s="10"/>
      <c r="BU285" s="10"/>
    </row>
    <row r="286" spans="1:73" ht="94.5" customHeight="1" x14ac:dyDescent="0.2">
      <c r="A286" s="214"/>
      <c r="B286" s="241"/>
      <c r="C286" s="241"/>
      <c r="D286" s="291"/>
      <c r="E286" s="181"/>
      <c r="F286" s="181"/>
      <c r="G286" s="181"/>
      <c r="H286" s="197"/>
      <c r="I286" s="197"/>
      <c r="J286" s="217"/>
      <c r="K286" s="183"/>
      <c r="L286" s="185"/>
      <c r="M286" s="205"/>
      <c r="N286" s="206"/>
      <c r="O286" s="203"/>
      <c r="P286" s="239">
        <f>IF(NOT(ISERROR(MATCH(O286,_xlfn.ANCHORARRAY(#REF!),0))),#REF!&amp;"Por favor no seleccionar los criterios de impacto",O286)</f>
        <v>0</v>
      </c>
      <c r="Q286" s="205"/>
      <c r="R286" s="206"/>
      <c r="S286" s="207"/>
      <c r="T286" s="152">
        <v>2</v>
      </c>
      <c r="U286" s="166" t="s">
        <v>764</v>
      </c>
      <c r="V286" s="153" t="str">
        <f>IF(OR(W286="Preventivo",W286="Detectivo"),"Probabilidad",IF(W286="Correctivo","Impacto",""))</f>
        <v>Probabilidad</v>
      </c>
      <c r="W286" s="154" t="s">
        <v>13</v>
      </c>
      <c r="X286" s="154" t="s">
        <v>8</v>
      </c>
      <c r="Y286" s="155" t="str">
        <f t="shared" ref="Y286:Y290" si="562">IF(AND(W286="Preventivo",X286="Automático"),"50%",IF(AND(W286="Preventivo",X286="Manual"),"40%",IF(AND(W286="Detectivo",X286="Automático"),"40%",IF(AND(W286="Detectivo",X286="Manual"),"30%",IF(AND(W286="Correctivo",X286="Automático"),"35%",IF(AND(W286="Correctivo",X286="Manual"),"25%",""))))))</f>
        <v>40%</v>
      </c>
      <c r="Z286" s="154" t="s">
        <v>18</v>
      </c>
      <c r="AA286" s="154" t="s">
        <v>21</v>
      </c>
      <c r="AB286" s="154" t="s">
        <v>112</v>
      </c>
      <c r="AC286" s="156">
        <f>IFERROR(IF(AND(V285="Probabilidad",V286="Probabilidad"),(AE285-(+AE285*Y286)),IF(V286="Probabilidad",(N285-(+N285*Y286)),IF(V286="Impacto",AE285,""))),"")</f>
        <v>0.216</v>
      </c>
      <c r="AD286" s="157" t="str">
        <f t="shared" ref="AD286:AD290" si="563">IFERROR(IF(AC286="","",IF(AC286&lt;=0.2,"Muy Baja",IF(AC286&lt;=0.4,"Baja",IF(AC286&lt;=0.6,"Media",IF(AC286&lt;=0.8,"Alta","Muy Alta"))))),"")</f>
        <v>Baja</v>
      </c>
      <c r="AE286" s="158">
        <f t="shared" ref="AE286:AE290" si="564">+AC286</f>
        <v>0.216</v>
      </c>
      <c r="AF286" s="157" t="str">
        <f t="shared" ref="AF286:AF290" si="565">IFERROR(IF(AG286="","",IF(AG286&lt;=0.2,"Leve",IF(AG286&lt;=0.4,"Menor",IF(AG286&lt;=0.6,"Moderado",IF(AG286&lt;=0.8,"Mayor","Catastrófico"))))),"")</f>
        <v>Catastrófico</v>
      </c>
      <c r="AG286" s="158">
        <f>IFERROR(IF(AND(V285="Impacto",V286="Impacto"),(AG285-(+AG285*Y286)),IF(V286="Impacto",(R285-(+R285*Y286)),IF(V286="Probabilidad",AG285,""))),"")</f>
        <v>1</v>
      </c>
      <c r="AH286" s="159" t="str">
        <f t="shared" ref="AH286:AH287" si="566">IFERROR(IF(OR(AND(AD286="Muy Baja",AF286="Leve"),AND(AD286="Muy Baja",AF286="Menor"),AND(AD286="Baja",AF286="Leve")),"Bajo",IF(OR(AND(AD286="Muy baja",AF286="Moderado"),AND(AD286="Baja",AF286="Menor"),AND(AD286="Baja",AF286="Moderado"),AND(AD286="Media",AF286="Leve"),AND(AD286="Media",AF286="Menor"),AND(AD286="Media",AF286="Moderado"),AND(AD286="Alta",AF286="Leve"),AND(AD286="Alta",AF286="Menor")),"Moderado",IF(OR(AND(AD286="Muy Baja",AF286="Mayor"),AND(AD286="Baja",AF286="Mayor"),AND(AD286="Media",AF286="Mayor"),AND(AD286="Alta",AF286="Moderado"),AND(AD286="Alta",AF286="Mayor"),AND(AD286="Muy Alta",AF286="Leve"),AND(AD286="Muy Alta",AF286="Menor"),AND(AD286="Muy Alta",AF286="Moderado"),AND(AD286="Muy Alta",AF286="Mayor")),"Alto",IF(OR(AND(AD286="Muy Baja",AF286="Catastrófico"),AND(AD286="Baja",AF286="Catastrófico"),AND(AD286="Media",AF286="Catastrófico"),AND(AD286="Alta",AF286="Catastrófico"),AND(AD286="Muy Alta",AF286="Catastrófico")),"Extremo","")))),"")</f>
        <v>Extremo</v>
      </c>
      <c r="AI286" s="161" t="s">
        <v>117</v>
      </c>
      <c r="AJ286" s="181"/>
      <c r="AK286" s="185"/>
      <c r="AL286" s="187"/>
      <c r="AM286" s="195"/>
      <c r="AN286" s="183"/>
      <c r="AO286" s="192"/>
      <c r="AP286" s="181"/>
    </row>
    <row r="287" spans="1:73" x14ac:dyDescent="0.2">
      <c r="A287" s="214"/>
      <c r="B287" s="241"/>
      <c r="C287" s="241"/>
      <c r="D287" s="291"/>
      <c r="E287" s="181"/>
      <c r="F287" s="181"/>
      <c r="G287" s="181"/>
      <c r="H287" s="197"/>
      <c r="I287" s="197"/>
      <c r="J287" s="217"/>
      <c r="K287" s="183"/>
      <c r="L287" s="185"/>
      <c r="M287" s="205"/>
      <c r="N287" s="206"/>
      <c r="O287" s="203"/>
      <c r="P287" s="239">
        <f>IF(NOT(ISERROR(MATCH(O287,_xlfn.ANCHORARRAY(#REF!),0))),#REF!&amp;"Por favor no seleccionar los criterios de impacto",O287)</f>
        <v>0</v>
      </c>
      <c r="Q287" s="205"/>
      <c r="R287" s="206"/>
      <c r="S287" s="207"/>
      <c r="T287" s="152">
        <v>3</v>
      </c>
      <c r="U287" s="166"/>
      <c r="V287" s="153" t="str">
        <f>IF(OR(W287="Preventivo",W287="Detectivo"),"Probabilidad",IF(W287="Correctivo","Impacto",""))</f>
        <v/>
      </c>
      <c r="W287" s="154"/>
      <c r="X287" s="154"/>
      <c r="Y287" s="155" t="str">
        <f t="shared" si="562"/>
        <v/>
      </c>
      <c r="Z287" s="154"/>
      <c r="AA287" s="154"/>
      <c r="AB287" s="154"/>
      <c r="AC287" s="156" t="str">
        <f>IFERROR(IF(AND(V286="Probabilidad",V287="Probabilidad"),(AE286-(+AE286*Y287)),IF(AND(V286="Impacto",V287="Probabilidad"),(AE285-(+AE285*Y287)),IF(V287="Impacto",AE286,""))),"")</f>
        <v/>
      </c>
      <c r="AD287" s="157" t="str">
        <f t="shared" si="563"/>
        <v/>
      </c>
      <c r="AE287" s="158" t="str">
        <f t="shared" si="564"/>
        <v/>
      </c>
      <c r="AF287" s="157" t="str">
        <f t="shared" si="565"/>
        <v/>
      </c>
      <c r="AG287" s="158" t="str">
        <f>IFERROR(IF(AND(V286="Impacto",V287="Impacto"),(AG286-(+AG286*Y287)),IF(AND(V286="Probabilidad",V287="Impacto"),(AG285-(+AG285*Y287)),IF(V287="Probabilidad",AG286,""))),"")</f>
        <v/>
      </c>
      <c r="AH287" s="159" t="str">
        <f t="shared" si="566"/>
        <v/>
      </c>
      <c r="AI287" s="161"/>
      <c r="AJ287" s="181"/>
      <c r="AK287" s="185"/>
      <c r="AL287" s="187"/>
      <c r="AM287" s="195"/>
      <c r="AN287" s="183"/>
      <c r="AO287" s="192"/>
      <c r="AP287" s="181"/>
    </row>
    <row r="288" spans="1:73" ht="15" customHeight="1" x14ac:dyDescent="0.2">
      <c r="A288" s="214"/>
      <c r="B288" s="241"/>
      <c r="C288" s="241"/>
      <c r="D288" s="291"/>
      <c r="E288" s="181"/>
      <c r="F288" s="181"/>
      <c r="G288" s="181"/>
      <c r="H288" s="197"/>
      <c r="I288" s="197"/>
      <c r="J288" s="217"/>
      <c r="K288" s="183"/>
      <c r="L288" s="185"/>
      <c r="M288" s="205"/>
      <c r="N288" s="206"/>
      <c r="O288" s="203"/>
      <c r="P288" s="239">
        <f>IF(NOT(ISERROR(MATCH(O288,_xlfn.ANCHORARRAY(#REF!),0))),#REF!&amp;"Por favor no seleccionar los criterios de impacto",O288)</f>
        <v>0</v>
      </c>
      <c r="Q288" s="205"/>
      <c r="R288" s="206"/>
      <c r="S288" s="207"/>
      <c r="T288" s="152">
        <v>4</v>
      </c>
      <c r="U288" s="160"/>
      <c r="V288" s="153" t="str">
        <f t="shared" ref="V288:V290" si="567">IF(OR(W288="Preventivo",W288="Detectivo"),"Probabilidad",IF(W288="Correctivo","Impacto",""))</f>
        <v/>
      </c>
      <c r="W288" s="154"/>
      <c r="X288" s="154"/>
      <c r="Y288" s="155" t="str">
        <f t="shared" si="562"/>
        <v/>
      </c>
      <c r="Z288" s="154"/>
      <c r="AA288" s="154"/>
      <c r="AB288" s="154"/>
      <c r="AC288" s="156" t="str">
        <f t="shared" ref="AC288:AC290" si="568">IFERROR(IF(AND(V287="Probabilidad",V288="Probabilidad"),(AE287-(+AE287*Y288)),IF(AND(V287="Impacto",V288="Probabilidad"),(AE286-(+AE286*Y288)),IF(V288="Impacto",AE287,""))),"")</f>
        <v/>
      </c>
      <c r="AD288" s="157" t="str">
        <f t="shared" si="563"/>
        <v/>
      </c>
      <c r="AE288" s="158" t="str">
        <f t="shared" si="564"/>
        <v/>
      </c>
      <c r="AF288" s="157" t="str">
        <f t="shared" si="565"/>
        <v/>
      </c>
      <c r="AG288" s="158" t="str">
        <f t="shared" ref="AG288:AG290" si="569">IFERROR(IF(AND(V287="Impacto",V288="Impacto"),(AG287-(+AG287*Y288)),IF(AND(V287="Probabilidad",V288="Impacto"),(AG286-(+AG286*Y288)),IF(V288="Probabilidad",AG287,""))),"")</f>
        <v/>
      </c>
      <c r="AH288" s="159" t="str">
        <f>IFERROR(IF(OR(AND(AD288="Muy Baja",AF288="Leve"),AND(AD288="Muy Baja",AF288="Menor"),AND(AD288="Baja",AF288="Leve")),"Bajo",IF(OR(AND(AD288="Muy baja",AF288="Moderado"),AND(AD288="Baja",AF288="Menor"),AND(AD288="Baja",AF288="Moderado"),AND(AD288="Media",AF288="Leve"),AND(AD288="Media",AF288="Menor"),AND(AD288="Media",AF288="Moderado"),AND(AD288="Alta",AF288="Leve"),AND(AD288="Alta",AF288="Menor")),"Moderado",IF(OR(AND(AD288="Muy Baja",AF288="Mayor"),AND(AD288="Baja",AF288="Mayor"),AND(AD288="Media",AF288="Mayor"),AND(AD288="Alta",AF288="Moderado"),AND(AD288="Alta",AF288="Mayor"),AND(AD288="Muy Alta",AF288="Leve"),AND(AD288="Muy Alta",AF288="Menor"),AND(AD288="Muy Alta",AF288="Moderado"),AND(AD288="Muy Alta",AF288="Mayor")),"Alto",IF(OR(AND(AD288="Muy Baja",AF288="Catastrófico"),AND(AD288="Baja",AF288="Catastrófico"),AND(AD288="Media",AF288="Catastrófico"),AND(AD288="Alta",AF288="Catastrófico"),AND(AD288="Muy Alta",AF288="Catastrófico")),"Extremo","")))),"")</f>
        <v/>
      </c>
      <c r="AI288" s="161"/>
      <c r="AJ288" s="181"/>
      <c r="AK288" s="185"/>
      <c r="AL288" s="187"/>
      <c r="AM288" s="195"/>
      <c r="AN288" s="183"/>
      <c r="AO288" s="192"/>
      <c r="AP288" s="181"/>
    </row>
    <row r="289" spans="1:73" ht="15" customHeight="1" x14ac:dyDescent="0.2">
      <c r="A289" s="214"/>
      <c r="B289" s="241"/>
      <c r="C289" s="241"/>
      <c r="D289" s="291"/>
      <c r="E289" s="181"/>
      <c r="F289" s="181"/>
      <c r="G289" s="181"/>
      <c r="H289" s="197"/>
      <c r="I289" s="197"/>
      <c r="J289" s="217"/>
      <c r="K289" s="183"/>
      <c r="L289" s="185"/>
      <c r="M289" s="205"/>
      <c r="N289" s="206"/>
      <c r="O289" s="203"/>
      <c r="P289" s="239">
        <f>IF(NOT(ISERROR(MATCH(O289,_xlfn.ANCHORARRAY(#REF!),0))),N292&amp;"Por favor no seleccionar los criterios de impacto",O289)</f>
        <v>0</v>
      </c>
      <c r="Q289" s="205"/>
      <c r="R289" s="206"/>
      <c r="S289" s="207"/>
      <c r="T289" s="152">
        <v>5</v>
      </c>
      <c r="U289" s="160"/>
      <c r="V289" s="153" t="str">
        <f t="shared" si="567"/>
        <v/>
      </c>
      <c r="W289" s="154"/>
      <c r="X289" s="154"/>
      <c r="Y289" s="155" t="str">
        <f t="shared" si="562"/>
        <v/>
      </c>
      <c r="Z289" s="154"/>
      <c r="AA289" s="154"/>
      <c r="AB289" s="154"/>
      <c r="AC289" s="156" t="str">
        <f t="shared" si="568"/>
        <v/>
      </c>
      <c r="AD289" s="157" t="str">
        <f t="shared" si="563"/>
        <v/>
      </c>
      <c r="AE289" s="158" t="str">
        <f t="shared" si="564"/>
        <v/>
      </c>
      <c r="AF289" s="157" t="str">
        <f t="shared" si="565"/>
        <v/>
      </c>
      <c r="AG289" s="158" t="str">
        <f t="shared" si="569"/>
        <v/>
      </c>
      <c r="AH289" s="159" t="str">
        <f t="shared" ref="AH289:AH290" si="570">IFERROR(IF(OR(AND(AD289="Muy Baja",AF289="Leve"),AND(AD289="Muy Baja",AF289="Menor"),AND(AD289="Baja",AF289="Leve")),"Bajo",IF(OR(AND(AD289="Muy baja",AF289="Moderado"),AND(AD289="Baja",AF289="Menor"),AND(AD289="Baja",AF289="Moderado"),AND(AD289="Media",AF289="Leve"),AND(AD289="Media",AF289="Menor"),AND(AD289="Media",AF289="Moderado"),AND(AD289="Alta",AF289="Leve"),AND(AD289="Alta",AF289="Menor")),"Moderado",IF(OR(AND(AD289="Muy Baja",AF289="Mayor"),AND(AD289="Baja",AF289="Mayor"),AND(AD289="Media",AF289="Mayor"),AND(AD289="Alta",AF289="Moderado"),AND(AD289="Alta",AF289="Mayor"),AND(AD289="Muy Alta",AF289="Leve"),AND(AD289="Muy Alta",AF289="Menor"),AND(AD289="Muy Alta",AF289="Moderado"),AND(AD289="Muy Alta",AF289="Mayor")),"Alto",IF(OR(AND(AD289="Muy Baja",AF289="Catastrófico"),AND(AD289="Baja",AF289="Catastrófico"),AND(AD289="Media",AF289="Catastrófico"),AND(AD289="Alta",AF289="Catastrófico"),AND(AD289="Muy Alta",AF289="Catastrófico")),"Extremo","")))),"")</f>
        <v/>
      </c>
      <c r="AI289" s="161"/>
      <c r="AJ289" s="181"/>
      <c r="AK289" s="185"/>
      <c r="AL289" s="187"/>
      <c r="AM289" s="195"/>
      <c r="AN289" s="183"/>
      <c r="AO289" s="192"/>
      <c r="AP289" s="181"/>
    </row>
    <row r="290" spans="1:73" ht="15" customHeight="1" x14ac:dyDescent="0.2">
      <c r="A290" s="214"/>
      <c r="B290" s="241"/>
      <c r="C290" s="241"/>
      <c r="D290" s="291"/>
      <c r="E290" s="181"/>
      <c r="F290" s="181"/>
      <c r="G290" s="181"/>
      <c r="H290" s="197"/>
      <c r="I290" s="197"/>
      <c r="J290" s="217"/>
      <c r="K290" s="183"/>
      <c r="L290" s="185"/>
      <c r="M290" s="205"/>
      <c r="N290" s="206"/>
      <c r="O290" s="203"/>
      <c r="P290" s="239">
        <f>IF(NOT(ISERROR(MATCH(O290,_xlfn.ANCHORARRAY(#REF!),0))),N293&amp;"Por favor no seleccionar los criterios de impacto",O290)</f>
        <v>0</v>
      </c>
      <c r="Q290" s="205"/>
      <c r="R290" s="206"/>
      <c r="S290" s="207"/>
      <c r="T290" s="152">
        <v>6</v>
      </c>
      <c r="U290" s="160"/>
      <c r="V290" s="153" t="str">
        <f t="shared" si="567"/>
        <v/>
      </c>
      <c r="W290" s="154"/>
      <c r="X290" s="154"/>
      <c r="Y290" s="155" t="str">
        <f t="shared" si="562"/>
        <v/>
      </c>
      <c r="Z290" s="154"/>
      <c r="AA290" s="154"/>
      <c r="AB290" s="154"/>
      <c r="AC290" s="156" t="str">
        <f t="shared" si="568"/>
        <v/>
      </c>
      <c r="AD290" s="157" t="str">
        <f t="shared" si="563"/>
        <v/>
      </c>
      <c r="AE290" s="158" t="str">
        <f t="shared" si="564"/>
        <v/>
      </c>
      <c r="AF290" s="157" t="str">
        <f t="shared" si="565"/>
        <v/>
      </c>
      <c r="AG290" s="158" t="str">
        <f t="shared" si="569"/>
        <v/>
      </c>
      <c r="AH290" s="159" t="str">
        <f t="shared" si="570"/>
        <v/>
      </c>
      <c r="AI290" s="161"/>
      <c r="AJ290" s="181"/>
      <c r="AK290" s="185"/>
      <c r="AL290" s="187"/>
      <c r="AM290" s="195"/>
      <c r="AN290" s="183"/>
      <c r="AO290" s="192"/>
      <c r="AP290" s="181"/>
    </row>
    <row r="291" spans="1:73" ht="124.5" customHeight="1" x14ac:dyDescent="0.2">
      <c r="A291" s="214">
        <v>50</v>
      </c>
      <c r="B291" s="241" t="s">
        <v>249</v>
      </c>
      <c r="C291" s="241" t="s">
        <v>752</v>
      </c>
      <c r="D291" s="291" t="s">
        <v>266</v>
      </c>
      <c r="E291" s="181" t="s">
        <v>758</v>
      </c>
      <c r="F291" s="181" t="s">
        <v>759</v>
      </c>
      <c r="G291" s="181" t="s">
        <v>760</v>
      </c>
      <c r="H291" s="197" t="s">
        <v>761</v>
      </c>
      <c r="I291" s="242" t="s">
        <v>762</v>
      </c>
      <c r="J291" s="217" t="s">
        <v>230</v>
      </c>
      <c r="K291" s="183" t="s">
        <v>227</v>
      </c>
      <c r="L291" s="185">
        <v>70</v>
      </c>
      <c r="M291" s="205" t="str">
        <f t="shared" ref="M291" si="571">IF(L291&lt;=0,"",IF(L291&lt;=2,"Muy Baja",IF(L291&lt;=24,"Baja",IF(L291&lt;=500,"Media",IF(L291&lt;=5000,"Alta","Muy Alta")))))</f>
        <v>Media</v>
      </c>
      <c r="N291" s="206">
        <f t="shared" ref="N291" si="572">IF(M291="","",IF(M291="Muy Baja",0.2,IF(M291="Baja",0.4,IF(M291="Media",0.6,IF(M291="Alta",0.8,IF(M291="Muy Alta",1,))))))</f>
        <v>0.6</v>
      </c>
      <c r="O291" s="203" t="s">
        <v>134</v>
      </c>
      <c r="P291" s="239" t="str">
        <f>IF(NOT(ISERROR(MATCH(O291,'Tabla Impacto'!$B$221:$B$223,0))),'Tabla Impacto'!$F$223&amp;"Por favor no seleccionar los criterios de impacto(Afectación Económica o presupuestal y Pérdida Reputacional)",O291)</f>
        <v xml:space="preserve">     El riesgo afecta la imagen de la entidad con algunos usuarios de relevancia frente al logro de los objetivos</v>
      </c>
      <c r="Q291" s="205" t="str">
        <f>IF(OR(P291='Tabla Impacto'!$C$11,P291='Tabla Impacto'!$D$11),"Leve",IF(OR(P291='Tabla Impacto'!$C$12,P291='Tabla Impacto'!$D$12),"Menor",IF(OR(P291='Tabla Impacto'!$C$13,P291='Tabla Impacto'!$D$13),"Moderado",IF(OR(P291='Tabla Impacto'!$C$14,P291='Tabla Impacto'!$D$14),"Mayor",IF(OR(P291='Tabla Impacto'!$C$15,P291='Tabla Impacto'!$D$15),"Catastrófico","")))))</f>
        <v>Moderado</v>
      </c>
      <c r="R291" s="206">
        <f t="shared" ref="R291" si="573">IF(Q291="","",IF(Q291="Leve",0.2,IF(Q291="Menor",0.4,IF(Q291="Moderado",0.6,IF(Q291="Mayor",0.8,IF(Q291="Catastrófico",1,))))))</f>
        <v>0.6</v>
      </c>
      <c r="S291" s="207" t="str">
        <f t="shared" ref="S291" si="574">IF(OR(AND(M291="Muy Baja",Q291="Leve"),AND(M291="Muy Baja",Q291="Menor"),AND(M291="Baja",Q291="Leve")),"Bajo",IF(OR(AND(M291="Muy baja",Q291="Moderado"),AND(M291="Baja",Q291="Menor"),AND(M291="Baja",Q291="Moderado"),AND(M291="Media",Q291="Leve"),AND(M291="Media",Q291="Menor"),AND(M291="Media",Q291="Moderado"),AND(M291="Alta",Q291="Leve"),AND(M291="Alta",Q291="Menor")),"Moderado",IF(OR(AND(M291="Muy Baja",Q291="Mayor"),AND(M291="Baja",Q291="Mayor"),AND(M291="Media",Q291="Mayor"),AND(M291="Alta",Q291="Moderado"),AND(M291="Alta",Q291="Mayor"),AND(M291="Muy Alta",Q291="Leve"),AND(M291="Muy Alta",Q291="Menor"),AND(M291="Muy Alta",Q291="Moderado"),AND(M291="Muy Alta",Q291="Mayor")),"Alto",IF(OR(AND(M291="Muy Baja",Q291="Catastrófico"),AND(M291="Baja",Q291="Catastrófico"),AND(M291="Media",Q291="Catastrófico"),AND(M291="Alta",Q291="Catastrófico"),AND(M291="Muy Alta",Q291="Catastrófico")),"Extremo",""))))</f>
        <v>Moderado</v>
      </c>
      <c r="T291" s="152">
        <v>1</v>
      </c>
      <c r="U291" s="166" t="s">
        <v>765</v>
      </c>
      <c r="V291" s="153" t="str">
        <f>IF(OR(W291="Preventivo",W291="Detectivo"),"Probabilidad",IF(W291="Correctivo","Impacto",""))</f>
        <v>Probabilidad</v>
      </c>
      <c r="W291" s="154" t="s">
        <v>13</v>
      </c>
      <c r="X291" s="154" t="s">
        <v>8</v>
      </c>
      <c r="Y291" s="155" t="str">
        <f>IF(AND(W291="Preventivo",X291="Automático"),"50%",IF(AND(W291="Preventivo",X291="Manual"),"40%",IF(AND(W291="Detectivo",X291="Automático"),"40%",IF(AND(W291="Detectivo",X291="Manual"),"30%",IF(AND(W291="Correctivo",X291="Automático"),"35%",IF(AND(W291="Correctivo",X291="Manual"),"25%",""))))))</f>
        <v>40%</v>
      </c>
      <c r="Z291" s="154" t="s">
        <v>18</v>
      </c>
      <c r="AA291" s="154" t="s">
        <v>21</v>
      </c>
      <c r="AB291" s="154" t="s">
        <v>112</v>
      </c>
      <c r="AC291" s="156">
        <f>IFERROR(IF(V291="Probabilidad",(N291-(+N291*Y291)),IF(V291="Impacto",N291,"")),"")</f>
        <v>0.36</v>
      </c>
      <c r="AD291" s="157" t="str">
        <f>IFERROR(IF(AC291="","",IF(AC291&lt;=0.2,"Muy Baja",IF(AC291&lt;=0.4,"Baja",IF(AC291&lt;=0.6,"Media",IF(AC291&lt;=0.8,"Alta","Muy Alta"))))),"")</f>
        <v>Baja</v>
      </c>
      <c r="AE291" s="158">
        <f>+AC291</f>
        <v>0.36</v>
      </c>
      <c r="AF291" s="157" t="str">
        <f>IFERROR(IF(AG291="","",IF(AG291&lt;=0.2,"Leve",IF(AG291&lt;=0.4,"Menor",IF(AG291&lt;=0.6,"Moderado",IF(AG291&lt;=0.8,"Mayor","Catastrófico"))))),"")</f>
        <v>Moderado</v>
      </c>
      <c r="AG291" s="158">
        <f>IFERROR(IF(V291="Impacto",(R291-(+R291*Y291)),IF(V291="Probabilidad",R291,"")),"")</f>
        <v>0.6</v>
      </c>
      <c r="AH291" s="159" t="str">
        <f>IFERROR(IF(OR(AND(AD291="Muy Baja",AF291="Leve"),AND(AD291="Muy Baja",AF291="Menor"),AND(AD291="Baja",AF291="Leve")),"Bajo",IF(OR(AND(AD291="Muy baja",AF291="Moderado"),AND(AD291="Baja",AF291="Menor"),AND(AD291="Baja",AF291="Moderado"),AND(AD291="Media",AF291="Leve"),AND(AD291="Media",AF291="Menor"),AND(AD291="Media",AF291="Moderado"),AND(AD291="Alta",AF291="Leve"),AND(AD291="Alta",AF291="Menor")),"Moderado",IF(OR(AND(AD291="Muy Baja",AF291="Mayor"),AND(AD291="Baja",AF291="Mayor"),AND(AD291="Media",AF291="Mayor"),AND(AD291="Alta",AF291="Moderado"),AND(AD291="Alta",AF291="Mayor"),AND(AD291="Muy Alta",AF291="Leve"),AND(AD291="Muy Alta",AF291="Menor"),AND(AD291="Muy Alta",AF291="Moderado"),AND(AD291="Muy Alta",AF291="Mayor")),"Alto",IF(OR(AND(AD291="Muy Baja",AF291="Catastrófico"),AND(AD291="Baja",AF291="Catastrófico"),AND(AD291="Media",AF291="Catastrófico"),AND(AD291="Alta",AF291="Catastrófico"),AND(AD291="Muy Alta",AF291="Catastrófico")),"Extremo","")))),"")</f>
        <v>Moderado</v>
      </c>
      <c r="AI291" s="161" t="s">
        <v>117</v>
      </c>
      <c r="AJ291" s="181" t="s">
        <v>768</v>
      </c>
      <c r="AK291" s="185" t="s">
        <v>182</v>
      </c>
      <c r="AL291" s="187">
        <v>44928</v>
      </c>
      <c r="AM291" s="195">
        <v>45291</v>
      </c>
      <c r="AN291" s="183" t="s">
        <v>284</v>
      </c>
      <c r="AO291" s="192" t="s">
        <v>269</v>
      </c>
      <c r="AP291" s="181" t="s">
        <v>769</v>
      </c>
      <c r="AQ291" s="10"/>
      <c r="AR291" s="10"/>
      <c r="AS291" s="10"/>
      <c r="AT291" s="10"/>
      <c r="AU291" s="10"/>
      <c r="AV291" s="10"/>
      <c r="AW291" s="10"/>
      <c r="AX291" s="10"/>
      <c r="AY291" s="10"/>
      <c r="AZ291" s="10"/>
      <c r="BA291" s="10"/>
      <c r="BB291" s="10"/>
      <c r="BC291" s="10"/>
      <c r="BD291" s="10"/>
      <c r="BE291" s="10"/>
      <c r="BF291" s="10"/>
      <c r="BG291" s="10"/>
      <c r="BH291" s="10"/>
      <c r="BI291" s="10"/>
      <c r="BJ291" s="10"/>
      <c r="BK291" s="10"/>
      <c r="BL291" s="10"/>
      <c r="BM291" s="10"/>
      <c r="BN291" s="10"/>
      <c r="BO291" s="10"/>
      <c r="BP291" s="10"/>
      <c r="BQ291" s="10"/>
      <c r="BR291" s="10"/>
      <c r="BS291" s="10"/>
      <c r="BT291" s="10"/>
      <c r="BU291" s="10"/>
    </row>
    <row r="292" spans="1:73" ht="15" customHeight="1" x14ac:dyDescent="0.2">
      <c r="A292" s="214"/>
      <c r="B292" s="241"/>
      <c r="C292" s="241"/>
      <c r="D292" s="291"/>
      <c r="E292" s="181"/>
      <c r="F292" s="181"/>
      <c r="G292" s="181"/>
      <c r="H292" s="197"/>
      <c r="I292" s="242"/>
      <c r="J292" s="217"/>
      <c r="K292" s="183"/>
      <c r="L292" s="185"/>
      <c r="M292" s="205"/>
      <c r="N292" s="206"/>
      <c r="O292" s="203"/>
      <c r="P292" s="239">
        <f>IF(NOT(ISERROR(MATCH(O292,_xlfn.ANCHORARRAY(#REF!),0))),#REF!&amp;"Por favor no seleccionar los criterios de impacto",O292)</f>
        <v>0</v>
      </c>
      <c r="Q292" s="205"/>
      <c r="R292" s="206"/>
      <c r="S292" s="207"/>
      <c r="T292" s="152">
        <v>2</v>
      </c>
      <c r="U292" s="166"/>
      <c r="V292" s="153" t="str">
        <f>IF(OR(W292="Preventivo",W292="Detectivo"),"Probabilidad",IF(W292="Correctivo","Impacto",""))</f>
        <v/>
      </c>
      <c r="W292" s="154"/>
      <c r="X292" s="154"/>
      <c r="Y292" s="155" t="str">
        <f t="shared" ref="Y292:Y296" si="575">IF(AND(W292="Preventivo",X292="Automático"),"50%",IF(AND(W292="Preventivo",X292="Manual"),"40%",IF(AND(W292="Detectivo",X292="Automático"),"40%",IF(AND(W292="Detectivo",X292="Manual"),"30%",IF(AND(W292="Correctivo",X292="Automático"),"35%",IF(AND(W292="Correctivo",X292="Manual"),"25%",""))))))</f>
        <v/>
      </c>
      <c r="Z292" s="154"/>
      <c r="AA292" s="154"/>
      <c r="AB292" s="154"/>
      <c r="AC292" s="156" t="str">
        <f>IFERROR(IF(AND(V291="Probabilidad",V292="Probabilidad"),(AE291-(+AE291*Y292)),IF(V292="Probabilidad",(N291-(+N291*Y292)),IF(V292="Impacto",AE291,""))),"")</f>
        <v/>
      </c>
      <c r="AD292" s="157" t="str">
        <f t="shared" ref="AD292:AD296" si="576">IFERROR(IF(AC292="","",IF(AC292&lt;=0.2,"Muy Baja",IF(AC292&lt;=0.4,"Baja",IF(AC292&lt;=0.6,"Media",IF(AC292&lt;=0.8,"Alta","Muy Alta"))))),"")</f>
        <v/>
      </c>
      <c r="AE292" s="158" t="str">
        <f t="shared" ref="AE292:AE296" si="577">+AC292</f>
        <v/>
      </c>
      <c r="AF292" s="157" t="str">
        <f t="shared" ref="AF292:AF296" si="578">IFERROR(IF(AG292="","",IF(AG292&lt;=0.2,"Leve",IF(AG292&lt;=0.4,"Menor",IF(AG292&lt;=0.6,"Moderado",IF(AG292&lt;=0.8,"Mayor","Catastrófico"))))),"")</f>
        <v/>
      </c>
      <c r="AG292" s="158" t="str">
        <f>IFERROR(IF(AND(V291="Impacto",V292="Impacto"),(AG291-(+AG291*Y292)),IF(V292="Impacto",(R291-(+R291*Y292)),IF(V292="Probabilidad",AG291,""))),"")</f>
        <v/>
      </c>
      <c r="AH292" s="159" t="str">
        <f t="shared" ref="AH292:AH293" si="579">IFERROR(IF(OR(AND(AD292="Muy Baja",AF292="Leve"),AND(AD292="Muy Baja",AF292="Menor"),AND(AD292="Baja",AF292="Leve")),"Bajo",IF(OR(AND(AD292="Muy baja",AF292="Moderado"),AND(AD292="Baja",AF292="Menor"),AND(AD292="Baja",AF292="Moderado"),AND(AD292="Media",AF292="Leve"),AND(AD292="Media",AF292="Menor"),AND(AD292="Media",AF292="Moderado"),AND(AD292="Alta",AF292="Leve"),AND(AD292="Alta",AF292="Menor")),"Moderado",IF(OR(AND(AD292="Muy Baja",AF292="Mayor"),AND(AD292="Baja",AF292="Mayor"),AND(AD292="Media",AF292="Mayor"),AND(AD292="Alta",AF292="Moderado"),AND(AD292="Alta",AF292="Mayor"),AND(AD292="Muy Alta",AF292="Leve"),AND(AD292="Muy Alta",AF292="Menor"),AND(AD292="Muy Alta",AF292="Moderado"),AND(AD292="Muy Alta",AF292="Mayor")),"Alto",IF(OR(AND(AD292="Muy Baja",AF292="Catastrófico"),AND(AD292="Baja",AF292="Catastrófico"),AND(AD292="Media",AF292="Catastrófico"),AND(AD292="Alta",AF292="Catastrófico"),AND(AD292="Muy Alta",AF292="Catastrófico")),"Extremo","")))),"")</f>
        <v/>
      </c>
      <c r="AI292" s="161"/>
      <c r="AJ292" s="181"/>
      <c r="AK292" s="185"/>
      <c r="AL292" s="187"/>
      <c r="AM292" s="195"/>
      <c r="AN292" s="183"/>
      <c r="AO292" s="192"/>
      <c r="AP292" s="181"/>
    </row>
    <row r="293" spans="1:73" ht="15" customHeight="1" x14ac:dyDescent="0.2">
      <c r="A293" s="214"/>
      <c r="B293" s="241"/>
      <c r="C293" s="241"/>
      <c r="D293" s="291"/>
      <c r="E293" s="181"/>
      <c r="F293" s="181"/>
      <c r="G293" s="181"/>
      <c r="H293" s="197"/>
      <c r="I293" s="242"/>
      <c r="J293" s="217"/>
      <c r="K293" s="183"/>
      <c r="L293" s="185"/>
      <c r="M293" s="205"/>
      <c r="N293" s="206"/>
      <c r="O293" s="203"/>
      <c r="P293" s="239">
        <f>IF(NOT(ISERROR(MATCH(O293,_xlfn.ANCHORARRAY(#REF!),0))),#REF!&amp;"Por favor no seleccionar los criterios de impacto",O293)</f>
        <v>0</v>
      </c>
      <c r="Q293" s="205"/>
      <c r="R293" s="206"/>
      <c r="S293" s="207"/>
      <c r="T293" s="152">
        <v>3</v>
      </c>
      <c r="U293" s="166"/>
      <c r="V293" s="153" t="str">
        <f>IF(OR(W293="Preventivo",W293="Detectivo"),"Probabilidad",IF(W293="Correctivo","Impacto",""))</f>
        <v/>
      </c>
      <c r="W293" s="154"/>
      <c r="X293" s="154"/>
      <c r="Y293" s="155" t="str">
        <f t="shared" si="575"/>
        <v/>
      </c>
      <c r="Z293" s="154"/>
      <c r="AA293" s="154"/>
      <c r="AB293" s="154"/>
      <c r="AC293" s="156" t="str">
        <f>IFERROR(IF(AND(V292="Probabilidad",V293="Probabilidad"),(AE292-(+AE292*Y293)),IF(AND(V292="Impacto",V293="Probabilidad"),(AE291-(+AE291*Y293)),IF(V293="Impacto",AE292,""))),"")</f>
        <v/>
      </c>
      <c r="AD293" s="157" t="str">
        <f t="shared" si="576"/>
        <v/>
      </c>
      <c r="AE293" s="158" t="str">
        <f t="shared" si="577"/>
        <v/>
      </c>
      <c r="AF293" s="157" t="str">
        <f t="shared" si="578"/>
        <v/>
      </c>
      <c r="AG293" s="158" t="str">
        <f>IFERROR(IF(AND(V292="Impacto",V293="Impacto"),(AG292-(+AG292*Y293)),IF(AND(V292="Probabilidad",V293="Impacto"),(AG291-(+AG291*Y293)),IF(V293="Probabilidad",AG292,""))),"")</f>
        <v/>
      </c>
      <c r="AH293" s="159" t="str">
        <f t="shared" si="579"/>
        <v/>
      </c>
      <c r="AI293" s="161"/>
      <c r="AJ293" s="181"/>
      <c r="AK293" s="185"/>
      <c r="AL293" s="187"/>
      <c r="AM293" s="195"/>
      <c r="AN293" s="183"/>
      <c r="AO293" s="192"/>
      <c r="AP293" s="181"/>
    </row>
    <row r="294" spans="1:73" ht="15" customHeight="1" x14ac:dyDescent="0.2">
      <c r="A294" s="214"/>
      <c r="B294" s="241"/>
      <c r="C294" s="241"/>
      <c r="D294" s="291"/>
      <c r="E294" s="181"/>
      <c r="F294" s="181"/>
      <c r="G294" s="181"/>
      <c r="H294" s="197"/>
      <c r="I294" s="242"/>
      <c r="J294" s="217"/>
      <c r="K294" s="183"/>
      <c r="L294" s="185"/>
      <c r="M294" s="205"/>
      <c r="N294" s="206"/>
      <c r="O294" s="203"/>
      <c r="P294" s="239">
        <f>IF(NOT(ISERROR(MATCH(O294,_xlfn.ANCHORARRAY(#REF!),0))),#REF!&amp;"Por favor no seleccionar los criterios de impacto",O294)</f>
        <v>0</v>
      </c>
      <c r="Q294" s="205"/>
      <c r="R294" s="206"/>
      <c r="S294" s="207"/>
      <c r="T294" s="152">
        <v>4</v>
      </c>
      <c r="U294" s="160"/>
      <c r="V294" s="153" t="str">
        <f t="shared" ref="V294:V296" si="580">IF(OR(W294="Preventivo",W294="Detectivo"),"Probabilidad",IF(W294="Correctivo","Impacto",""))</f>
        <v/>
      </c>
      <c r="W294" s="154"/>
      <c r="X294" s="154"/>
      <c r="Y294" s="155" t="str">
        <f t="shared" si="575"/>
        <v/>
      </c>
      <c r="Z294" s="154"/>
      <c r="AA294" s="154"/>
      <c r="AB294" s="154"/>
      <c r="AC294" s="156" t="str">
        <f t="shared" ref="AC294:AC296" si="581">IFERROR(IF(AND(V293="Probabilidad",V294="Probabilidad"),(AE293-(+AE293*Y294)),IF(AND(V293="Impacto",V294="Probabilidad"),(AE292-(+AE292*Y294)),IF(V294="Impacto",AE293,""))),"")</f>
        <v/>
      </c>
      <c r="AD294" s="157" t="str">
        <f t="shared" si="576"/>
        <v/>
      </c>
      <c r="AE294" s="158" t="str">
        <f t="shared" si="577"/>
        <v/>
      </c>
      <c r="AF294" s="157" t="str">
        <f t="shared" si="578"/>
        <v/>
      </c>
      <c r="AG294" s="158" t="str">
        <f t="shared" ref="AG294:AG296" si="582">IFERROR(IF(AND(V293="Impacto",V294="Impacto"),(AG293-(+AG293*Y294)),IF(AND(V293="Probabilidad",V294="Impacto"),(AG292-(+AG292*Y294)),IF(V294="Probabilidad",AG293,""))),"")</f>
        <v/>
      </c>
      <c r="AH294" s="159" t="str">
        <f>IFERROR(IF(OR(AND(AD294="Muy Baja",AF294="Leve"),AND(AD294="Muy Baja",AF294="Menor"),AND(AD294="Baja",AF294="Leve")),"Bajo",IF(OR(AND(AD294="Muy baja",AF294="Moderado"),AND(AD294="Baja",AF294="Menor"),AND(AD294="Baja",AF294="Moderado"),AND(AD294="Media",AF294="Leve"),AND(AD294="Media",AF294="Menor"),AND(AD294="Media",AF294="Moderado"),AND(AD294="Alta",AF294="Leve"),AND(AD294="Alta",AF294="Menor")),"Moderado",IF(OR(AND(AD294="Muy Baja",AF294="Mayor"),AND(AD294="Baja",AF294="Mayor"),AND(AD294="Media",AF294="Mayor"),AND(AD294="Alta",AF294="Moderado"),AND(AD294="Alta",AF294="Mayor"),AND(AD294="Muy Alta",AF294="Leve"),AND(AD294="Muy Alta",AF294="Menor"),AND(AD294="Muy Alta",AF294="Moderado"),AND(AD294="Muy Alta",AF294="Mayor")),"Alto",IF(OR(AND(AD294="Muy Baja",AF294="Catastrófico"),AND(AD294="Baja",AF294="Catastrófico"),AND(AD294="Media",AF294="Catastrófico"),AND(AD294="Alta",AF294="Catastrófico"),AND(AD294="Muy Alta",AF294="Catastrófico")),"Extremo","")))),"")</f>
        <v/>
      </c>
      <c r="AI294" s="161"/>
      <c r="AJ294" s="181"/>
      <c r="AK294" s="185"/>
      <c r="AL294" s="187"/>
      <c r="AM294" s="195"/>
      <c r="AN294" s="183"/>
      <c r="AO294" s="192"/>
      <c r="AP294" s="181"/>
    </row>
    <row r="295" spans="1:73" ht="15" customHeight="1" x14ac:dyDescent="0.2">
      <c r="A295" s="214"/>
      <c r="B295" s="241"/>
      <c r="C295" s="241"/>
      <c r="D295" s="291"/>
      <c r="E295" s="181"/>
      <c r="F295" s="181"/>
      <c r="G295" s="181"/>
      <c r="H295" s="197"/>
      <c r="I295" s="242"/>
      <c r="J295" s="217"/>
      <c r="K295" s="183"/>
      <c r="L295" s="185"/>
      <c r="M295" s="205"/>
      <c r="N295" s="206"/>
      <c r="O295" s="203"/>
      <c r="P295" s="239">
        <f>IF(NOT(ISERROR(MATCH(O295,_xlfn.ANCHORARRAY(#REF!),0))),N298&amp;"Por favor no seleccionar los criterios de impacto",O295)</f>
        <v>0</v>
      </c>
      <c r="Q295" s="205"/>
      <c r="R295" s="206"/>
      <c r="S295" s="207"/>
      <c r="T295" s="152">
        <v>5</v>
      </c>
      <c r="U295" s="160"/>
      <c r="V295" s="153" t="str">
        <f t="shared" si="580"/>
        <v/>
      </c>
      <c r="W295" s="154"/>
      <c r="X295" s="154"/>
      <c r="Y295" s="155" t="str">
        <f t="shared" si="575"/>
        <v/>
      </c>
      <c r="Z295" s="154"/>
      <c r="AA295" s="154"/>
      <c r="AB295" s="154"/>
      <c r="AC295" s="156" t="str">
        <f t="shared" si="581"/>
        <v/>
      </c>
      <c r="AD295" s="157" t="str">
        <f t="shared" si="576"/>
        <v/>
      </c>
      <c r="AE295" s="158" t="str">
        <f t="shared" si="577"/>
        <v/>
      </c>
      <c r="AF295" s="157" t="str">
        <f t="shared" si="578"/>
        <v/>
      </c>
      <c r="AG295" s="158" t="str">
        <f t="shared" si="582"/>
        <v/>
      </c>
      <c r="AH295" s="159" t="str">
        <f t="shared" ref="AH295:AH296" si="583">IFERROR(IF(OR(AND(AD295="Muy Baja",AF295="Leve"),AND(AD295="Muy Baja",AF295="Menor"),AND(AD295="Baja",AF295="Leve")),"Bajo",IF(OR(AND(AD295="Muy baja",AF295="Moderado"),AND(AD295="Baja",AF295="Menor"),AND(AD295="Baja",AF295="Moderado"),AND(AD295="Media",AF295="Leve"),AND(AD295="Media",AF295="Menor"),AND(AD295="Media",AF295="Moderado"),AND(AD295="Alta",AF295="Leve"),AND(AD295="Alta",AF295="Menor")),"Moderado",IF(OR(AND(AD295="Muy Baja",AF295="Mayor"),AND(AD295="Baja",AF295="Mayor"),AND(AD295="Media",AF295="Mayor"),AND(AD295="Alta",AF295="Moderado"),AND(AD295="Alta",AF295="Mayor"),AND(AD295="Muy Alta",AF295="Leve"),AND(AD295="Muy Alta",AF295="Menor"),AND(AD295="Muy Alta",AF295="Moderado"),AND(AD295="Muy Alta",AF295="Mayor")),"Alto",IF(OR(AND(AD295="Muy Baja",AF295="Catastrófico"),AND(AD295="Baja",AF295="Catastrófico"),AND(AD295="Media",AF295="Catastrófico"),AND(AD295="Alta",AF295="Catastrófico"),AND(AD295="Muy Alta",AF295="Catastrófico")),"Extremo","")))),"")</f>
        <v/>
      </c>
      <c r="AI295" s="161"/>
      <c r="AJ295" s="181"/>
      <c r="AK295" s="185"/>
      <c r="AL295" s="187"/>
      <c r="AM295" s="195"/>
      <c r="AN295" s="183"/>
      <c r="AO295" s="192"/>
      <c r="AP295" s="181"/>
    </row>
    <row r="296" spans="1:73" ht="15" customHeight="1" x14ac:dyDescent="0.2">
      <c r="A296" s="214"/>
      <c r="B296" s="241"/>
      <c r="C296" s="241"/>
      <c r="D296" s="291"/>
      <c r="E296" s="181"/>
      <c r="F296" s="181"/>
      <c r="G296" s="181"/>
      <c r="H296" s="197"/>
      <c r="I296" s="242"/>
      <c r="J296" s="217"/>
      <c r="K296" s="183"/>
      <c r="L296" s="185"/>
      <c r="M296" s="205"/>
      <c r="N296" s="206"/>
      <c r="O296" s="203"/>
      <c r="P296" s="239">
        <f>IF(NOT(ISERROR(MATCH(O296,_xlfn.ANCHORARRAY(#REF!),0))),N299&amp;"Por favor no seleccionar los criterios de impacto",O296)</f>
        <v>0</v>
      </c>
      <c r="Q296" s="205"/>
      <c r="R296" s="206"/>
      <c r="S296" s="207"/>
      <c r="T296" s="152">
        <v>6</v>
      </c>
      <c r="U296" s="160"/>
      <c r="V296" s="153" t="str">
        <f t="shared" si="580"/>
        <v/>
      </c>
      <c r="W296" s="154"/>
      <c r="X296" s="154"/>
      <c r="Y296" s="155" t="str">
        <f t="shared" si="575"/>
        <v/>
      </c>
      <c r="Z296" s="154"/>
      <c r="AA296" s="154"/>
      <c r="AB296" s="154"/>
      <c r="AC296" s="156" t="str">
        <f t="shared" si="581"/>
        <v/>
      </c>
      <c r="AD296" s="157" t="str">
        <f t="shared" si="576"/>
        <v/>
      </c>
      <c r="AE296" s="158" t="str">
        <f t="shared" si="577"/>
        <v/>
      </c>
      <c r="AF296" s="157" t="str">
        <f t="shared" si="578"/>
        <v/>
      </c>
      <c r="AG296" s="158" t="str">
        <f t="shared" si="582"/>
        <v/>
      </c>
      <c r="AH296" s="159" t="str">
        <f t="shared" si="583"/>
        <v/>
      </c>
      <c r="AI296" s="161"/>
      <c r="AJ296" s="181"/>
      <c r="AK296" s="185"/>
      <c r="AL296" s="187"/>
      <c r="AM296" s="195"/>
      <c r="AN296" s="183"/>
      <c r="AO296" s="192"/>
      <c r="AP296" s="181"/>
    </row>
    <row r="297" spans="1:73" ht="90" customHeight="1" x14ac:dyDescent="0.2">
      <c r="A297" s="214">
        <v>51</v>
      </c>
      <c r="B297" s="243" t="s">
        <v>246</v>
      </c>
      <c r="C297" s="243" t="s">
        <v>770</v>
      </c>
      <c r="D297" s="292" t="s">
        <v>266</v>
      </c>
      <c r="E297" s="180" t="s">
        <v>771</v>
      </c>
      <c r="F297" s="180" t="s">
        <v>772</v>
      </c>
      <c r="G297" s="180" t="s">
        <v>773</v>
      </c>
      <c r="H297" s="196" t="s">
        <v>774</v>
      </c>
      <c r="I297" s="246" t="s">
        <v>775</v>
      </c>
      <c r="J297" s="218" t="s">
        <v>230</v>
      </c>
      <c r="K297" s="184" t="s">
        <v>227</v>
      </c>
      <c r="L297" s="186">
        <v>8000</v>
      </c>
      <c r="M297" s="205" t="str">
        <f t="shared" ref="M297" si="584">IF(L297&lt;=0,"",IF(L297&lt;=2,"Muy Baja",IF(L297&lt;=24,"Baja",IF(L297&lt;=500,"Media",IF(L297&lt;=5000,"Alta","Muy Alta")))))</f>
        <v>Muy Alta</v>
      </c>
      <c r="N297" s="206">
        <f t="shared" ref="N297" si="585">IF(M297="","",IF(M297="Muy Baja",0.2,IF(M297="Baja",0.4,IF(M297="Media",0.6,IF(M297="Alta",0.8,IF(M297="Muy Alta",1,))))))</f>
        <v>1</v>
      </c>
      <c r="O297" s="211" t="s">
        <v>134</v>
      </c>
      <c r="P297" s="239" t="str">
        <f>IF(NOT(ISERROR(MATCH(O297,'Tabla Impacto'!$B$221:$B$223,0))),'Tabla Impacto'!$F$223&amp;"Por favor no seleccionar los criterios de impacto(Afectación Económica o presupuestal y Pérdida Reputacional)",O297)</f>
        <v xml:space="preserve">     El riesgo afecta la imagen de la entidad con algunos usuarios de relevancia frente al logro de los objetivos</v>
      </c>
      <c r="Q297" s="205" t="str">
        <f>IF(OR(P297='Tabla Impacto'!$C$11,P297='Tabla Impacto'!$D$11),"Leve",IF(OR(P297='Tabla Impacto'!$C$12,P297='Tabla Impacto'!$D$12),"Menor",IF(OR(P297='Tabla Impacto'!$C$13,P297='Tabla Impacto'!$D$13),"Moderado",IF(OR(P297='Tabla Impacto'!$C$14,P297='Tabla Impacto'!$D$14),"Mayor",IF(OR(P297='Tabla Impacto'!$C$15,P297='Tabla Impacto'!$D$15),"Catastrófico","")))))</f>
        <v>Moderado</v>
      </c>
      <c r="R297" s="206">
        <f t="shared" ref="R297" si="586">IF(Q297="","",IF(Q297="Leve",0.2,IF(Q297="Menor",0.4,IF(Q297="Moderado",0.6,IF(Q297="Mayor",0.8,IF(Q297="Catastrófico",1,))))))</f>
        <v>0.6</v>
      </c>
      <c r="S297" s="207" t="str">
        <f t="shared" ref="S297" si="587">IF(OR(AND(M297="Muy Baja",Q297="Leve"),AND(M297="Muy Baja",Q297="Menor"),AND(M297="Baja",Q297="Leve")),"Bajo",IF(OR(AND(M297="Muy baja",Q297="Moderado"),AND(M297="Baja",Q297="Menor"),AND(M297="Baja",Q297="Moderado"),AND(M297="Media",Q297="Leve"),AND(M297="Media",Q297="Menor"),AND(M297="Media",Q297="Moderado"),AND(M297="Alta",Q297="Leve"),AND(M297="Alta",Q297="Menor")),"Moderado",IF(OR(AND(M297="Muy Baja",Q297="Mayor"),AND(M297="Baja",Q297="Mayor"),AND(M297="Media",Q297="Mayor"),AND(M297="Alta",Q297="Moderado"),AND(M297="Alta",Q297="Mayor"),AND(M297="Muy Alta",Q297="Leve"),AND(M297="Muy Alta",Q297="Menor"),AND(M297="Muy Alta",Q297="Moderado"),AND(M297="Muy Alta",Q297="Mayor")),"Alto",IF(OR(AND(M297="Muy Baja",Q297="Catastrófico"),AND(M297="Baja",Q297="Catastrófico"),AND(M297="Media",Q297="Catastrófico"),AND(M297="Alta",Q297="Catastrófico"),AND(M297="Muy Alta",Q297="Catastrófico")),"Extremo",""))))</f>
        <v>Alto</v>
      </c>
      <c r="T297" s="152">
        <v>1</v>
      </c>
      <c r="U297" s="173" t="s">
        <v>791</v>
      </c>
      <c r="V297" s="153" t="str">
        <f>IF(OR(W297="Preventivo",W297="Detectivo"),"Probabilidad",IF(W297="Correctivo","Impacto",""))</f>
        <v>Probabilidad</v>
      </c>
      <c r="W297" s="145" t="s">
        <v>13</v>
      </c>
      <c r="X297" s="145" t="s">
        <v>8</v>
      </c>
      <c r="Y297" s="155" t="str">
        <f>IF(AND(W297="Preventivo",X297="Automático"),"50%",IF(AND(W297="Preventivo",X297="Manual"),"40%",IF(AND(W297="Detectivo",X297="Automático"),"40%",IF(AND(W297="Detectivo",X297="Manual"),"30%",IF(AND(W297="Correctivo",X297="Automático"),"35%",IF(AND(W297="Correctivo",X297="Manual"),"25%",""))))))</f>
        <v>40%</v>
      </c>
      <c r="Z297" s="145" t="s">
        <v>18</v>
      </c>
      <c r="AA297" s="145" t="s">
        <v>21</v>
      </c>
      <c r="AB297" s="145" t="s">
        <v>112</v>
      </c>
      <c r="AC297" s="156">
        <f>IFERROR(IF(V297="Probabilidad",(N297-(+N297*Y297)),IF(V297="Impacto",N297,"")),"")</f>
        <v>0.6</v>
      </c>
      <c r="AD297" s="157" t="str">
        <f>IFERROR(IF(AC297="","",IF(AC297&lt;=0.2,"Muy Baja",IF(AC297&lt;=0.4,"Baja",IF(AC297&lt;=0.6,"Media",IF(AC297&lt;=0.8,"Alta","Muy Alta"))))),"")</f>
        <v>Media</v>
      </c>
      <c r="AE297" s="158">
        <f>+AC297</f>
        <v>0.6</v>
      </c>
      <c r="AF297" s="157" t="str">
        <f>IFERROR(IF(AG297="","",IF(AG297&lt;=0.2,"Leve",IF(AG297&lt;=0.4,"Menor",IF(AG297&lt;=0.6,"Moderado",IF(AG297&lt;=0.8,"Mayor","Catastrófico"))))),"")</f>
        <v>Moderado</v>
      </c>
      <c r="AG297" s="158">
        <f>IFERROR(IF(V297="Impacto",(R297-(+R297*Y297)),IF(V297="Probabilidad",R297,"")),"")</f>
        <v>0.6</v>
      </c>
      <c r="AH297" s="159" t="str">
        <f>IFERROR(IF(OR(AND(AD297="Muy Baja",AF297="Leve"),AND(AD297="Muy Baja",AF297="Menor"),AND(AD297="Baja",AF297="Leve")),"Bajo",IF(OR(AND(AD297="Muy baja",AF297="Moderado"),AND(AD297="Baja",AF297="Menor"),AND(AD297="Baja",AF297="Moderado"),AND(AD297="Media",AF297="Leve"),AND(AD297="Media",AF297="Menor"),AND(AD297="Media",AF297="Moderado"),AND(AD297="Alta",AF297="Leve"),AND(AD297="Alta",AF297="Menor")),"Moderado",IF(OR(AND(AD297="Muy Baja",AF297="Mayor"),AND(AD297="Baja",AF297="Mayor"),AND(AD297="Media",AF297="Mayor"),AND(AD297="Alta",AF297="Moderado"),AND(AD297="Alta",AF297="Mayor"),AND(AD297="Muy Alta",AF297="Leve"),AND(AD297="Muy Alta",AF297="Menor"),AND(AD297="Muy Alta",AF297="Moderado"),AND(AD297="Muy Alta",AF297="Mayor")),"Alto",IF(OR(AND(AD297="Muy Baja",AF297="Catastrófico"),AND(AD297="Baja",AF297="Catastrófico"),AND(AD297="Media",AF297="Catastrófico"),AND(AD297="Alta",AF297="Catastrófico"),AND(AD297="Muy Alta",AF297="Catastrófico")),"Extremo","")))),"")</f>
        <v>Moderado</v>
      </c>
      <c r="AI297" s="151" t="s">
        <v>117</v>
      </c>
      <c r="AJ297" s="180" t="s">
        <v>802</v>
      </c>
      <c r="AK297" s="186" t="s">
        <v>183</v>
      </c>
      <c r="AL297" s="188">
        <v>45293</v>
      </c>
      <c r="AM297" s="194" t="s">
        <v>803</v>
      </c>
      <c r="AN297" s="184" t="s">
        <v>524</v>
      </c>
      <c r="AO297" s="190" t="s">
        <v>269</v>
      </c>
      <c r="AP297" s="248" t="s">
        <v>804</v>
      </c>
      <c r="AQ297" s="10"/>
      <c r="AR297" s="10"/>
      <c r="AS297" s="10"/>
      <c r="AT297" s="10"/>
      <c r="AU297" s="10"/>
      <c r="AV297" s="10"/>
      <c r="AW297" s="10"/>
      <c r="AX297" s="10"/>
      <c r="AY297" s="10"/>
      <c r="AZ297" s="10"/>
      <c r="BA297" s="10"/>
      <c r="BB297" s="10"/>
      <c r="BC297" s="10"/>
      <c r="BD297" s="10"/>
      <c r="BE297" s="10"/>
      <c r="BF297" s="10"/>
      <c r="BG297" s="10"/>
      <c r="BH297" s="10"/>
      <c r="BI297" s="10"/>
      <c r="BJ297" s="10"/>
      <c r="BK297" s="10"/>
      <c r="BL297" s="10"/>
      <c r="BM297" s="10"/>
      <c r="BN297" s="10"/>
      <c r="BO297" s="10"/>
      <c r="BP297" s="10"/>
      <c r="BQ297" s="10"/>
      <c r="BR297" s="10"/>
      <c r="BS297" s="10"/>
      <c r="BT297" s="10"/>
      <c r="BU297" s="10"/>
    </row>
    <row r="298" spans="1:73" ht="135.75" customHeight="1" x14ac:dyDescent="0.2">
      <c r="A298" s="214"/>
      <c r="B298" s="241"/>
      <c r="C298" s="241"/>
      <c r="D298" s="291"/>
      <c r="E298" s="181"/>
      <c r="F298" s="181"/>
      <c r="G298" s="181"/>
      <c r="H298" s="197"/>
      <c r="I298" s="242"/>
      <c r="J298" s="217"/>
      <c r="K298" s="183"/>
      <c r="L298" s="185"/>
      <c r="M298" s="205"/>
      <c r="N298" s="206"/>
      <c r="O298" s="203"/>
      <c r="P298" s="239">
        <f>IF(NOT(ISERROR(MATCH(O298,_xlfn.ANCHORARRAY(#REF!),0))),#REF!&amp;"Por favor no seleccionar los criterios de impacto",O298)</f>
        <v>0</v>
      </c>
      <c r="Q298" s="205"/>
      <c r="R298" s="206"/>
      <c r="S298" s="207"/>
      <c r="T298" s="152">
        <v>2</v>
      </c>
      <c r="U298" s="173" t="s">
        <v>792</v>
      </c>
      <c r="V298" s="153" t="str">
        <f>IF(OR(W298="Preventivo",W298="Detectivo"),"Probabilidad",IF(W298="Correctivo","Impacto",""))</f>
        <v>Probabilidad</v>
      </c>
      <c r="W298" s="154" t="s">
        <v>13</v>
      </c>
      <c r="X298" s="154" t="s">
        <v>8</v>
      </c>
      <c r="Y298" s="155" t="str">
        <f t="shared" ref="Y298:Y302" si="588">IF(AND(W298="Preventivo",X298="Automático"),"50%",IF(AND(W298="Preventivo",X298="Manual"),"40%",IF(AND(W298="Detectivo",X298="Automático"),"40%",IF(AND(W298="Detectivo",X298="Manual"),"30%",IF(AND(W298="Correctivo",X298="Automático"),"35%",IF(AND(W298="Correctivo",X298="Manual"),"25%",""))))))</f>
        <v>40%</v>
      </c>
      <c r="Z298" s="145" t="s">
        <v>18</v>
      </c>
      <c r="AA298" s="145" t="s">
        <v>21</v>
      </c>
      <c r="AB298" s="145" t="s">
        <v>112</v>
      </c>
      <c r="AC298" s="156">
        <f>IFERROR(IF(AND(V297="Probabilidad",V298="Probabilidad"),(AE297-(+AE297*Y298)),IF(V298="Probabilidad",(N297-(+N297*Y298)),IF(V298="Impacto",AE297,""))),"")</f>
        <v>0.36</v>
      </c>
      <c r="AD298" s="157" t="str">
        <f t="shared" ref="AD298:AD302" si="589">IFERROR(IF(AC298="","",IF(AC298&lt;=0.2,"Muy Baja",IF(AC298&lt;=0.4,"Baja",IF(AC298&lt;=0.6,"Media",IF(AC298&lt;=0.8,"Alta","Muy Alta"))))),"")</f>
        <v>Baja</v>
      </c>
      <c r="AE298" s="158">
        <f t="shared" ref="AE298:AE302" si="590">+AC298</f>
        <v>0.36</v>
      </c>
      <c r="AF298" s="157" t="str">
        <f t="shared" ref="AF298:AF302" si="591">IFERROR(IF(AG298="","",IF(AG298&lt;=0.2,"Leve",IF(AG298&lt;=0.4,"Menor",IF(AG298&lt;=0.6,"Moderado",IF(AG298&lt;=0.8,"Mayor","Catastrófico"))))),"")</f>
        <v>Moderado</v>
      </c>
      <c r="AG298" s="158">
        <f>IFERROR(IF(AND(V297="Impacto",V298="Impacto"),(AG297-(+AG297*Y298)),IF(V298="Impacto",(R297-(+R297*Y298)),IF(V298="Probabilidad",AG297,""))),"")</f>
        <v>0.6</v>
      </c>
      <c r="AH298" s="159" t="str">
        <f t="shared" ref="AH298:AH299" si="592">IFERROR(IF(OR(AND(AD298="Muy Baja",AF298="Leve"),AND(AD298="Muy Baja",AF298="Menor"),AND(AD298="Baja",AF298="Leve")),"Bajo",IF(OR(AND(AD298="Muy baja",AF298="Moderado"),AND(AD298="Baja",AF298="Menor"),AND(AD298="Baja",AF298="Moderado"),AND(AD298="Media",AF298="Leve"),AND(AD298="Media",AF298="Menor"),AND(AD298="Media",AF298="Moderado"),AND(AD298="Alta",AF298="Leve"),AND(AD298="Alta",AF298="Menor")),"Moderado",IF(OR(AND(AD298="Muy Baja",AF298="Mayor"),AND(AD298="Baja",AF298="Mayor"),AND(AD298="Media",AF298="Mayor"),AND(AD298="Alta",AF298="Moderado"),AND(AD298="Alta",AF298="Mayor"),AND(AD298="Muy Alta",AF298="Leve"),AND(AD298="Muy Alta",AF298="Menor"),AND(AD298="Muy Alta",AF298="Moderado"),AND(AD298="Muy Alta",AF298="Mayor")),"Alto",IF(OR(AND(AD298="Muy Baja",AF298="Catastrófico"),AND(AD298="Baja",AF298="Catastrófico"),AND(AD298="Media",AF298="Catastrófico"),AND(AD298="Alta",AF298="Catastrófico"),AND(AD298="Muy Alta",AF298="Catastrófico")),"Extremo","")))),"")</f>
        <v>Moderado</v>
      </c>
      <c r="AI298" s="151" t="s">
        <v>117</v>
      </c>
      <c r="AJ298" s="181"/>
      <c r="AK298" s="185"/>
      <c r="AL298" s="187"/>
      <c r="AM298" s="195"/>
      <c r="AN298" s="183"/>
      <c r="AO298" s="190"/>
      <c r="AP298" s="249"/>
    </row>
    <row r="299" spans="1:73" ht="73.5" customHeight="1" x14ac:dyDescent="0.2">
      <c r="A299" s="214"/>
      <c r="B299" s="241"/>
      <c r="C299" s="241"/>
      <c r="D299" s="291"/>
      <c r="E299" s="181"/>
      <c r="F299" s="181"/>
      <c r="G299" s="181"/>
      <c r="H299" s="197"/>
      <c r="I299" s="242"/>
      <c r="J299" s="217"/>
      <c r="K299" s="183"/>
      <c r="L299" s="185"/>
      <c r="M299" s="205"/>
      <c r="N299" s="206"/>
      <c r="O299" s="203"/>
      <c r="P299" s="239">
        <f>IF(NOT(ISERROR(MATCH(O299,_xlfn.ANCHORARRAY(#REF!),0))),#REF!&amp;"Por favor no seleccionar los criterios de impacto",O299)</f>
        <v>0</v>
      </c>
      <c r="Q299" s="205"/>
      <c r="R299" s="206"/>
      <c r="S299" s="207"/>
      <c r="T299" s="152">
        <v>3</v>
      </c>
      <c r="U299" s="173" t="s">
        <v>793</v>
      </c>
      <c r="V299" s="153" t="str">
        <f>IF(OR(W299="Preventivo",W299="Detectivo"),"Probabilidad",IF(W299="Correctivo","Impacto",""))</f>
        <v>Probabilidad</v>
      </c>
      <c r="W299" s="154" t="s">
        <v>13</v>
      </c>
      <c r="X299" s="154" t="s">
        <v>8</v>
      </c>
      <c r="Y299" s="155" t="str">
        <f t="shared" si="588"/>
        <v>40%</v>
      </c>
      <c r="Z299" s="145" t="s">
        <v>18</v>
      </c>
      <c r="AA299" s="145" t="s">
        <v>21</v>
      </c>
      <c r="AB299" s="145" t="s">
        <v>112</v>
      </c>
      <c r="AC299" s="156">
        <f>IFERROR(IF(AND(V298="Probabilidad",V299="Probabilidad"),(AE298-(+AE298*Y299)),IF(AND(V298="Impacto",V299="Probabilidad"),(AE297-(+AE297*Y299)),IF(V299="Impacto",AE298,""))),"")</f>
        <v>0.216</v>
      </c>
      <c r="AD299" s="157" t="str">
        <f t="shared" si="589"/>
        <v>Baja</v>
      </c>
      <c r="AE299" s="158">
        <f t="shared" si="590"/>
        <v>0.216</v>
      </c>
      <c r="AF299" s="157" t="str">
        <f t="shared" si="591"/>
        <v>Moderado</v>
      </c>
      <c r="AG299" s="158">
        <f>IFERROR(IF(AND(V298="Impacto",V299="Impacto"),(AG298-(+AG298*Y299)),IF(AND(V298="Probabilidad",V299="Impacto"),(AG297-(+AG297*Y299)),IF(V299="Probabilidad",AG298,""))),"")</f>
        <v>0.6</v>
      </c>
      <c r="AH299" s="159" t="str">
        <f t="shared" si="592"/>
        <v>Moderado</v>
      </c>
      <c r="AI299" s="151" t="s">
        <v>117</v>
      </c>
      <c r="AJ299" s="181"/>
      <c r="AK299" s="185"/>
      <c r="AL299" s="187"/>
      <c r="AM299" s="195"/>
      <c r="AN299" s="183"/>
      <c r="AO299" s="190"/>
      <c r="AP299" s="249"/>
    </row>
    <row r="300" spans="1:73" ht="15" customHeight="1" x14ac:dyDescent="0.2">
      <c r="A300" s="214"/>
      <c r="B300" s="241"/>
      <c r="C300" s="241"/>
      <c r="D300" s="291"/>
      <c r="E300" s="181"/>
      <c r="F300" s="181"/>
      <c r="G300" s="181"/>
      <c r="H300" s="197"/>
      <c r="I300" s="242"/>
      <c r="J300" s="217"/>
      <c r="K300" s="183"/>
      <c r="L300" s="185"/>
      <c r="M300" s="205"/>
      <c r="N300" s="206"/>
      <c r="O300" s="203"/>
      <c r="P300" s="239">
        <f>IF(NOT(ISERROR(MATCH(O300,_xlfn.ANCHORARRAY(#REF!),0))),#REF!&amp;"Por favor no seleccionar los criterios de impacto",O300)</f>
        <v>0</v>
      </c>
      <c r="Q300" s="205"/>
      <c r="R300" s="206"/>
      <c r="S300" s="207"/>
      <c r="T300" s="152">
        <v>4</v>
      </c>
      <c r="U300" s="173"/>
      <c r="V300" s="153" t="str">
        <f t="shared" ref="V300:V302" si="593">IF(OR(W300="Preventivo",W300="Detectivo"),"Probabilidad",IF(W300="Correctivo","Impacto",""))</f>
        <v/>
      </c>
      <c r="W300" s="154"/>
      <c r="X300" s="154"/>
      <c r="Y300" s="155" t="str">
        <f t="shared" si="588"/>
        <v/>
      </c>
      <c r="Z300" s="154"/>
      <c r="AA300" s="154"/>
      <c r="AB300" s="154"/>
      <c r="AC300" s="156" t="str">
        <f t="shared" ref="AC300:AC302" si="594">IFERROR(IF(AND(V299="Probabilidad",V300="Probabilidad"),(AE299-(+AE299*Y300)),IF(AND(V299="Impacto",V300="Probabilidad"),(AE298-(+AE298*Y300)),IF(V300="Impacto",AE299,""))),"")</f>
        <v/>
      </c>
      <c r="AD300" s="157" t="str">
        <f t="shared" si="589"/>
        <v/>
      </c>
      <c r="AE300" s="158" t="str">
        <f t="shared" si="590"/>
        <v/>
      </c>
      <c r="AF300" s="157" t="str">
        <f t="shared" si="591"/>
        <v/>
      </c>
      <c r="AG300" s="158" t="str">
        <f t="shared" ref="AG300:AG302" si="595">IFERROR(IF(AND(V299="Impacto",V300="Impacto"),(AG299-(+AG299*Y300)),IF(AND(V299="Probabilidad",V300="Impacto"),(AG298-(+AG298*Y300)),IF(V300="Probabilidad",AG299,""))),"")</f>
        <v/>
      </c>
      <c r="AH300" s="159" t="str">
        <f>IFERROR(IF(OR(AND(AD300="Muy Baja",AF300="Leve"),AND(AD300="Muy Baja",AF300="Menor"),AND(AD300="Baja",AF300="Leve")),"Bajo",IF(OR(AND(AD300="Muy baja",AF300="Moderado"),AND(AD300="Baja",AF300="Menor"),AND(AD300="Baja",AF300="Moderado"),AND(AD300="Media",AF300="Leve"),AND(AD300="Media",AF300="Menor"),AND(AD300="Media",AF300="Moderado"),AND(AD300="Alta",AF300="Leve"),AND(AD300="Alta",AF300="Menor")),"Moderado",IF(OR(AND(AD300="Muy Baja",AF300="Mayor"),AND(AD300="Baja",AF300="Mayor"),AND(AD300="Media",AF300="Mayor"),AND(AD300="Alta",AF300="Moderado"),AND(AD300="Alta",AF300="Mayor"),AND(AD300="Muy Alta",AF300="Leve"),AND(AD300="Muy Alta",AF300="Menor"),AND(AD300="Muy Alta",AF300="Moderado"),AND(AD300="Muy Alta",AF300="Mayor")),"Alto",IF(OR(AND(AD300="Muy Baja",AF300="Catastrófico"),AND(AD300="Baja",AF300="Catastrófico"),AND(AD300="Media",AF300="Catastrófico"),AND(AD300="Alta",AF300="Catastrófico"),AND(AD300="Muy Alta",AF300="Catastrófico")),"Extremo","")))),"")</f>
        <v/>
      </c>
      <c r="AI300" s="161"/>
      <c r="AJ300" s="181"/>
      <c r="AK300" s="185"/>
      <c r="AL300" s="187"/>
      <c r="AM300" s="195"/>
      <c r="AN300" s="183"/>
      <c r="AO300" s="190"/>
      <c r="AP300" s="249"/>
    </row>
    <row r="301" spans="1:73" ht="15" customHeight="1" x14ac:dyDescent="0.2">
      <c r="A301" s="214"/>
      <c r="B301" s="241"/>
      <c r="C301" s="241"/>
      <c r="D301" s="291"/>
      <c r="E301" s="181"/>
      <c r="F301" s="181"/>
      <c r="G301" s="181"/>
      <c r="H301" s="197"/>
      <c r="I301" s="242"/>
      <c r="J301" s="217"/>
      <c r="K301" s="183"/>
      <c r="L301" s="185"/>
      <c r="M301" s="205"/>
      <c r="N301" s="206"/>
      <c r="O301" s="203"/>
      <c r="P301" s="239">
        <f>IF(NOT(ISERROR(MATCH(O301,_xlfn.ANCHORARRAY(#REF!),0))),N304&amp;"Por favor no seleccionar los criterios de impacto",O301)</f>
        <v>0</v>
      </c>
      <c r="Q301" s="205"/>
      <c r="R301" s="206"/>
      <c r="S301" s="207"/>
      <c r="T301" s="152">
        <v>5</v>
      </c>
      <c r="U301" s="173"/>
      <c r="V301" s="153" t="str">
        <f t="shared" si="593"/>
        <v/>
      </c>
      <c r="W301" s="154"/>
      <c r="X301" s="154"/>
      <c r="Y301" s="155" t="str">
        <f t="shared" si="588"/>
        <v/>
      </c>
      <c r="Z301" s="154"/>
      <c r="AA301" s="154"/>
      <c r="AB301" s="154"/>
      <c r="AC301" s="156" t="str">
        <f t="shared" si="594"/>
        <v/>
      </c>
      <c r="AD301" s="157" t="str">
        <f t="shared" si="589"/>
        <v/>
      </c>
      <c r="AE301" s="158" t="str">
        <f t="shared" si="590"/>
        <v/>
      </c>
      <c r="AF301" s="157" t="str">
        <f t="shared" si="591"/>
        <v/>
      </c>
      <c r="AG301" s="158" t="str">
        <f t="shared" si="595"/>
        <v/>
      </c>
      <c r="AH301" s="159" t="str">
        <f t="shared" ref="AH301:AH302" si="596">IFERROR(IF(OR(AND(AD301="Muy Baja",AF301="Leve"),AND(AD301="Muy Baja",AF301="Menor"),AND(AD301="Baja",AF301="Leve")),"Bajo",IF(OR(AND(AD301="Muy baja",AF301="Moderado"),AND(AD301="Baja",AF301="Menor"),AND(AD301="Baja",AF301="Moderado"),AND(AD301="Media",AF301="Leve"),AND(AD301="Media",AF301="Menor"),AND(AD301="Media",AF301="Moderado"),AND(AD301="Alta",AF301="Leve"),AND(AD301="Alta",AF301="Menor")),"Moderado",IF(OR(AND(AD301="Muy Baja",AF301="Mayor"),AND(AD301="Baja",AF301="Mayor"),AND(AD301="Media",AF301="Mayor"),AND(AD301="Alta",AF301="Moderado"),AND(AD301="Alta",AF301="Mayor"),AND(AD301="Muy Alta",AF301="Leve"),AND(AD301="Muy Alta",AF301="Menor"),AND(AD301="Muy Alta",AF301="Moderado"),AND(AD301="Muy Alta",AF301="Mayor")),"Alto",IF(OR(AND(AD301="Muy Baja",AF301="Catastrófico"),AND(AD301="Baja",AF301="Catastrófico"),AND(AD301="Media",AF301="Catastrófico"),AND(AD301="Alta",AF301="Catastrófico"),AND(AD301="Muy Alta",AF301="Catastrófico")),"Extremo","")))),"")</f>
        <v/>
      </c>
      <c r="AI301" s="161"/>
      <c r="AJ301" s="181"/>
      <c r="AK301" s="185"/>
      <c r="AL301" s="187"/>
      <c r="AM301" s="195"/>
      <c r="AN301" s="183"/>
      <c r="AO301" s="190"/>
      <c r="AP301" s="249"/>
    </row>
    <row r="302" spans="1:73" ht="15" customHeight="1" x14ac:dyDescent="0.2">
      <c r="A302" s="214"/>
      <c r="B302" s="241"/>
      <c r="C302" s="241"/>
      <c r="D302" s="291"/>
      <c r="E302" s="181"/>
      <c r="F302" s="181"/>
      <c r="G302" s="181"/>
      <c r="H302" s="197"/>
      <c r="I302" s="242"/>
      <c r="J302" s="217"/>
      <c r="K302" s="183"/>
      <c r="L302" s="185"/>
      <c r="M302" s="205"/>
      <c r="N302" s="206"/>
      <c r="O302" s="203"/>
      <c r="P302" s="239">
        <f>IF(NOT(ISERROR(MATCH(O302,_xlfn.ANCHORARRAY(#REF!),0))),N305&amp;"Por favor no seleccionar los criterios de impacto",O302)</f>
        <v>0</v>
      </c>
      <c r="Q302" s="205"/>
      <c r="R302" s="206"/>
      <c r="S302" s="207"/>
      <c r="T302" s="152">
        <v>6</v>
      </c>
      <c r="U302" s="173"/>
      <c r="V302" s="153" t="str">
        <f t="shared" si="593"/>
        <v/>
      </c>
      <c r="W302" s="154"/>
      <c r="X302" s="154"/>
      <c r="Y302" s="155" t="str">
        <f t="shared" si="588"/>
        <v/>
      </c>
      <c r="Z302" s="154"/>
      <c r="AA302" s="154"/>
      <c r="AB302" s="154"/>
      <c r="AC302" s="156" t="str">
        <f t="shared" si="594"/>
        <v/>
      </c>
      <c r="AD302" s="157" t="str">
        <f t="shared" si="589"/>
        <v/>
      </c>
      <c r="AE302" s="158" t="str">
        <f t="shared" si="590"/>
        <v/>
      </c>
      <c r="AF302" s="157" t="str">
        <f t="shared" si="591"/>
        <v/>
      </c>
      <c r="AG302" s="158" t="str">
        <f t="shared" si="595"/>
        <v/>
      </c>
      <c r="AH302" s="159" t="str">
        <f t="shared" si="596"/>
        <v/>
      </c>
      <c r="AI302" s="161"/>
      <c r="AJ302" s="181"/>
      <c r="AK302" s="185"/>
      <c r="AL302" s="187"/>
      <c r="AM302" s="195"/>
      <c r="AN302" s="183"/>
      <c r="AO302" s="191"/>
      <c r="AP302" s="250"/>
    </row>
    <row r="303" spans="1:73" ht="170.25" customHeight="1" x14ac:dyDescent="0.2">
      <c r="A303" s="214">
        <v>52</v>
      </c>
      <c r="B303" s="243" t="s">
        <v>246</v>
      </c>
      <c r="C303" s="243" t="s">
        <v>770</v>
      </c>
      <c r="D303" s="292" t="s">
        <v>268</v>
      </c>
      <c r="E303" s="181" t="s">
        <v>776</v>
      </c>
      <c r="F303" s="181" t="s">
        <v>777</v>
      </c>
      <c r="G303" s="181" t="s">
        <v>778</v>
      </c>
      <c r="H303" s="197" t="s">
        <v>779</v>
      </c>
      <c r="I303" s="242" t="s">
        <v>780</v>
      </c>
      <c r="J303" s="217" t="s">
        <v>230</v>
      </c>
      <c r="K303" s="183" t="s">
        <v>227</v>
      </c>
      <c r="L303" s="185">
        <v>50</v>
      </c>
      <c r="M303" s="205" t="str">
        <f t="shared" ref="M303" si="597">IF(L303&lt;=0,"",IF(L303&lt;=2,"Muy Baja",IF(L303&lt;=24,"Baja",IF(L303&lt;=500,"Media",IF(L303&lt;=5000,"Alta","Muy Alta")))))</f>
        <v>Media</v>
      </c>
      <c r="N303" s="206">
        <f t="shared" ref="N303" si="598">IF(M303="","",IF(M303="Muy Baja",0.2,IF(M303="Baja",0.4,IF(M303="Media",0.6,IF(M303="Alta",0.8,IF(M303="Muy Alta",1,))))))</f>
        <v>0.6</v>
      </c>
      <c r="O303" s="203" t="s">
        <v>128</v>
      </c>
      <c r="P303" s="239" t="str">
        <f>IF(NOT(ISERROR(MATCH(O303,'Tabla Impacto'!$B$221:$B$223,0))),'Tabla Impacto'!$F$223&amp;"Por favor no seleccionar los criterios de impacto(Afectación Económica o presupuestal y Pérdida Reputacional)",O303)</f>
        <v xml:space="preserve">     Entre 50 y 100 SMLMV </v>
      </c>
      <c r="Q303" s="205" t="str">
        <f>IF(OR(P303='Tabla Impacto'!$C$11,P303='Tabla Impacto'!$D$11),"Leve",IF(OR(P303='Tabla Impacto'!$C$12,P303='Tabla Impacto'!$D$12),"Menor",IF(OR(P303='Tabla Impacto'!$C$13,P303='Tabla Impacto'!$D$13),"Moderado",IF(OR(P303='Tabla Impacto'!$C$14,P303='Tabla Impacto'!$D$14),"Mayor",IF(OR(P303='Tabla Impacto'!$C$15,P303='Tabla Impacto'!$D$15),"Catastrófico","")))))</f>
        <v>Moderado</v>
      </c>
      <c r="R303" s="206">
        <f t="shared" ref="R303" si="599">IF(Q303="","",IF(Q303="Leve",0.2,IF(Q303="Menor",0.4,IF(Q303="Moderado",0.6,IF(Q303="Mayor",0.8,IF(Q303="Catastrófico",1,))))))</f>
        <v>0.6</v>
      </c>
      <c r="S303" s="207" t="str">
        <f t="shared" ref="S303" si="600">IF(OR(AND(M303="Muy Baja",Q303="Leve"),AND(M303="Muy Baja",Q303="Menor"),AND(M303="Baja",Q303="Leve")),"Bajo",IF(OR(AND(M303="Muy baja",Q303="Moderado"),AND(M303="Baja",Q303="Menor"),AND(M303="Baja",Q303="Moderado"),AND(M303="Media",Q303="Leve"),AND(M303="Media",Q303="Menor"),AND(M303="Media",Q303="Moderado"),AND(M303="Alta",Q303="Leve"),AND(M303="Alta",Q303="Menor")),"Moderado",IF(OR(AND(M303="Muy Baja",Q303="Mayor"),AND(M303="Baja",Q303="Mayor"),AND(M303="Media",Q303="Mayor"),AND(M303="Alta",Q303="Moderado"),AND(M303="Alta",Q303="Mayor"),AND(M303="Muy Alta",Q303="Leve"),AND(M303="Muy Alta",Q303="Menor"),AND(M303="Muy Alta",Q303="Moderado"),AND(M303="Muy Alta",Q303="Mayor")),"Alto",IF(OR(AND(M303="Muy Baja",Q303="Catastrófico"),AND(M303="Baja",Q303="Catastrófico"),AND(M303="Media",Q303="Catastrófico"),AND(M303="Alta",Q303="Catastrófico"),AND(M303="Muy Alta",Q303="Catastrófico")),"Extremo",""))))</f>
        <v>Moderado</v>
      </c>
      <c r="T303" s="152">
        <v>1</v>
      </c>
      <c r="U303" s="173" t="s">
        <v>794</v>
      </c>
      <c r="V303" s="153" t="str">
        <f>IF(OR(W303="Preventivo",W303="Detectivo"),"Probabilidad",IF(W303="Correctivo","Impacto",""))</f>
        <v>Probabilidad</v>
      </c>
      <c r="W303" s="154" t="s">
        <v>13</v>
      </c>
      <c r="X303" s="154" t="s">
        <v>8</v>
      </c>
      <c r="Y303" s="155" t="str">
        <f>IF(AND(W303="Preventivo",X303="Automático"),"50%",IF(AND(W303="Preventivo",X303="Manual"),"40%",IF(AND(W303="Detectivo",X303="Automático"),"40%",IF(AND(W303="Detectivo",X303="Manual"),"30%",IF(AND(W303="Correctivo",X303="Automático"),"35%",IF(AND(W303="Correctivo",X303="Manual"),"25%",""))))))</f>
        <v>40%</v>
      </c>
      <c r="Z303" s="154" t="s">
        <v>18</v>
      </c>
      <c r="AA303" s="154" t="s">
        <v>21</v>
      </c>
      <c r="AB303" s="154" t="s">
        <v>112</v>
      </c>
      <c r="AC303" s="156">
        <f>IFERROR(IF(V303="Probabilidad",(N303-(+N303*Y303)),IF(V303="Impacto",N303,"")),"")</f>
        <v>0.36</v>
      </c>
      <c r="AD303" s="157" t="str">
        <f>IFERROR(IF(AC303="","",IF(AC303&lt;=0.2,"Muy Baja",IF(AC303&lt;=0.4,"Baja",IF(AC303&lt;=0.6,"Media",IF(AC303&lt;=0.8,"Alta","Muy Alta"))))),"")</f>
        <v>Baja</v>
      </c>
      <c r="AE303" s="158">
        <f>+AC303</f>
        <v>0.36</v>
      </c>
      <c r="AF303" s="157" t="str">
        <f>IFERROR(IF(AG303="","",IF(AG303&lt;=0.2,"Leve",IF(AG303&lt;=0.4,"Menor",IF(AG303&lt;=0.6,"Moderado",IF(AG303&lt;=0.8,"Mayor","Catastrófico"))))),"")</f>
        <v>Moderado</v>
      </c>
      <c r="AG303" s="158">
        <f>IFERROR(IF(V303="Impacto",(R303-(+R303*Y303)),IF(V303="Probabilidad",R303,"")),"")</f>
        <v>0.6</v>
      </c>
      <c r="AH303" s="159" t="str">
        <f>IFERROR(IF(OR(AND(AD303="Muy Baja",AF303="Leve"),AND(AD303="Muy Baja",AF303="Menor"),AND(AD303="Baja",AF303="Leve")),"Bajo",IF(OR(AND(AD303="Muy baja",AF303="Moderado"),AND(AD303="Baja",AF303="Menor"),AND(AD303="Baja",AF303="Moderado"),AND(AD303="Media",AF303="Leve"),AND(AD303="Media",AF303="Menor"),AND(AD303="Media",AF303="Moderado"),AND(AD303="Alta",AF303="Leve"),AND(AD303="Alta",AF303="Menor")),"Moderado",IF(OR(AND(AD303="Muy Baja",AF303="Mayor"),AND(AD303="Baja",AF303="Mayor"),AND(AD303="Media",AF303="Mayor"),AND(AD303="Alta",AF303="Moderado"),AND(AD303="Alta",AF303="Mayor"),AND(AD303="Muy Alta",AF303="Leve"),AND(AD303="Muy Alta",AF303="Menor"),AND(AD303="Muy Alta",AF303="Moderado"),AND(AD303="Muy Alta",AF303="Mayor")),"Alto",IF(OR(AND(AD303="Muy Baja",AF303="Catastrófico"),AND(AD303="Baja",AF303="Catastrófico"),AND(AD303="Media",AF303="Catastrófico"),AND(AD303="Alta",AF303="Catastrófico"),AND(AD303="Muy Alta",AF303="Catastrófico")),"Extremo","")))),"")</f>
        <v>Moderado</v>
      </c>
      <c r="AI303" s="161" t="s">
        <v>117</v>
      </c>
      <c r="AJ303" s="181" t="s">
        <v>805</v>
      </c>
      <c r="AK303" s="186" t="s">
        <v>183</v>
      </c>
      <c r="AL303" s="188">
        <v>45293</v>
      </c>
      <c r="AM303" s="194" t="s">
        <v>803</v>
      </c>
      <c r="AN303" s="184" t="s">
        <v>524</v>
      </c>
      <c r="AO303" s="190" t="s">
        <v>269</v>
      </c>
      <c r="AP303" s="248" t="s">
        <v>806</v>
      </c>
      <c r="AQ303" s="10"/>
      <c r="AR303" s="10"/>
      <c r="AS303" s="10"/>
      <c r="AT303" s="10"/>
      <c r="AU303" s="10"/>
      <c r="AV303" s="10"/>
      <c r="AW303" s="10"/>
      <c r="AX303" s="10"/>
      <c r="AY303" s="10"/>
      <c r="AZ303" s="10"/>
      <c r="BA303" s="10"/>
      <c r="BB303" s="10"/>
      <c r="BC303" s="10"/>
      <c r="BD303" s="10"/>
      <c r="BE303" s="10"/>
      <c r="BF303" s="10"/>
      <c r="BG303" s="10"/>
      <c r="BH303" s="10"/>
      <c r="BI303" s="10"/>
      <c r="BJ303" s="10"/>
      <c r="BK303" s="10"/>
      <c r="BL303" s="10"/>
      <c r="BM303" s="10"/>
      <c r="BN303" s="10"/>
      <c r="BO303" s="10"/>
      <c r="BP303" s="10"/>
      <c r="BQ303" s="10"/>
      <c r="BR303" s="10"/>
      <c r="BS303" s="10"/>
      <c r="BT303" s="10"/>
      <c r="BU303" s="10"/>
    </row>
    <row r="304" spans="1:73" x14ac:dyDescent="0.2">
      <c r="A304" s="214"/>
      <c r="B304" s="241"/>
      <c r="C304" s="241"/>
      <c r="D304" s="291"/>
      <c r="E304" s="181"/>
      <c r="F304" s="181"/>
      <c r="G304" s="181"/>
      <c r="H304" s="197"/>
      <c r="I304" s="242"/>
      <c r="J304" s="217"/>
      <c r="K304" s="183"/>
      <c r="L304" s="185"/>
      <c r="M304" s="205"/>
      <c r="N304" s="206"/>
      <c r="O304" s="203"/>
      <c r="P304" s="239">
        <f>IF(NOT(ISERROR(MATCH(O304,_xlfn.ANCHORARRAY(#REF!),0))),#REF!&amp;"Por favor no seleccionar los criterios de impacto",O304)</f>
        <v>0</v>
      </c>
      <c r="Q304" s="205"/>
      <c r="R304" s="206"/>
      <c r="S304" s="207"/>
      <c r="T304" s="152">
        <v>2</v>
      </c>
      <c r="U304" s="173"/>
      <c r="V304" s="153" t="str">
        <f>IF(OR(W304="Preventivo",W304="Detectivo"),"Probabilidad",IF(W304="Correctivo","Impacto",""))</f>
        <v/>
      </c>
      <c r="W304" s="154"/>
      <c r="X304" s="154"/>
      <c r="Y304" s="155" t="str">
        <f t="shared" ref="Y304:Y308" si="601">IF(AND(W304="Preventivo",X304="Automático"),"50%",IF(AND(W304="Preventivo",X304="Manual"),"40%",IF(AND(W304="Detectivo",X304="Automático"),"40%",IF(AND(W304="Detectivo",X304="Manual"),"30%",IF(AND(W304="Correctivo",X304="Automático"),"35%",IF(AND(W304="Correctivo",X304="Manual"),"25%",""))))))</f>
        <v/>
      </c>
      <c r="Z304" s="154"/>
      <c r="AA304" s="154"/>
      <c r="AB304" s="154"/>
      <c r="AC304" s="156" t="str">
        <f>IFERROR(IF(AND(V303="Probabilidad",V304="Probabilidad"),(AE303-(+AE303*Y304)),IF(V304="Probabilidad",(N303-(+N303*Y304)),IF(V304="Impacto",AE303,""))),"")</f>
        <v/>
      </c>
      <c r="AD304" s="157" t="str">
        <f t="shared" ref="AD304:AD308" si="602">IFERROR(IF(AC304="","",IF(AC304&lt;=0.2,"Muy Baja",IF(AC304&lt;=0.4,"Baja",IF(AC304&lt;=0.6,"Media",IF(AC304&lt;=0.8,"Alta","Muy Alta"))))),"")</f>
        <v/>
      </c>
      <c r="AE304" s="158" t="str">
        <f t="shared" ref="AE304:AE308" si="603">+AC304</f>
        <v/>
      </c>
      <c r="AF304" s="157" t="str">
        <f t="shared" ref="AF304:AF308" si="604">IFERROR(IF(AG304="","",IF(AG304&lt;=0.2,"Leve",IF(AG304&lt;=0.4,"Menor",IF(AG304&lt;=0.6,"Moderado",IF(AG304&lt;=0.8,"Mayor","Catastrófico"))))),"")</f>
        <v/>
      </c>
      <c r="AG304" s="158" t="str">
        <f>IFERROR(IF(AND(V303="Impacto",V304="Impacto"),(AG303-(+AG303*Y304)),IF(V304="Impacto",(R303-(+R303*Y304)),IF(V304="Probabilidad",AG303,""))),"")</f>
        <v/>
      </c>
      <c r="AH304" s="159" t="str">
        <f t="shared" ref="AH304:AH305" si="605">IFERROR(IF(OR(AND(AD304="Muy Baja",AF304="Leve"),AND(AD304="Muy Baja",AF304="Menor"),AND(AD304="Baja",AF304="Leve")),"Bajo",IF(OR(AND(AD304="Muy baja",AF304="Moderado"),AND(AD304="Baja",AF304="Menor"),AND(AD304="Baja",AF304="Moderado"),AND(AD304="Media",AF304="Leve"),AND(AD304="Media",AF304="Menor"),AND(AD304="Media",AF304="Moderado"),AND(AD304="Alta",AF304="Leve"),AND(AD304="Alta",AF304="Menor")),"Moderado",IF(OR(AND(AD304="Muy Baja",AF304="Mayor"),AND(AD304="Baja",AF304="Mayor"),AND(AD304="Media",AF304="Mayor"),AND(AD304="Alta",AF304="Moderado"),AND(AD304="Alta",AF304="Mayor"),AND(AD304="Muy Alta",AF304="Leve"),AND(AD304="Muy Alta",AF304="Menor"),AND(AD304="Muy Alta",AF304="Moderado"),AND(AD304="Muy Alta",AF304="Mayor")),"Alto",IF(OR(AND(AD304="Muy Baja",AF304="Catastrófico"),AND(AD304="Baja",AF304="Catastrófico"),AND(AD304="Media",AF304="Catastrófico"),AND(AD304="Alta",AF304="Catastrófico"),AND(AD304="Muy Alta",AF304="Catastrófico")),"Extremo","")))),"")</f>
        <v/>
      </c>
      <c r="AI304" s="161"/>
      <c r="AJ304" s="181"/>
      <c r="AK304" s="185"/>
      <c r="AL304" s="187"/>
      <c r="AM304" s="195"/>
      <c r="AN304" s="183"/>
      <c r="AO304" s="190"/>
      <c r="AP304" s="249"/>
    </row>
    <row r="305" spans="1:73" ht="15" customHeight="1" x14ac:dyDescent="0.2">
      <c r="A305" s="214"/>
      <c r="B305" s="241"/>
      <c r="C305" s="241"/>
      <c r="D305" s="291"/>
      <c r="E305" s="181"/>
      <c r="F305" s="181"/>
      <c r="G305" s="181"/>
      <c r="H305" s="197"/>
      <c r="I305" s="242"/>
      <c r="J305" s="217"/>
      <c r="K305" s="183"/>
      <c r="L305" s="185"/>
      <c r="M305" s="205"/>
      <c r="N305" s="206"/>
      <c r="O305" s="203"/>
      <c r="P305" s="239">
        <f>IF(NOT(ISERROR(MATCH(O305,_xlfn.ANCHORARRAY(#REF!),0))),#REF!&amp;"Por favor no seleccionar los criterios de impacto",O305)</f>
        <v>0</v>
      </c>
      <c r="Q305" s="205"/>
      <c r="R305" s="206"/>
      <c r="S305" s="207"/>
      <c r="T305" s="152">
        <v>3</v>
      </c>
      <c r="U305" s="173"/>
      <c r="V305" s="153" t="str">
        <f>IF(OR(W305="Preventivo",W305="Detectivo"),"Probabilidad",IF(W305="Correctivo","Impacto",""))</f>
        <v/>
      </c>
      <c r="W305" s="154"/>
      <c r="X305" s="154"/>
      <c r="Y305" s="155" t="str">
        <f t="shared" si="601"/>
        <v/>
      </c>
      <c r="Z305" s="154"/>
      <c r="AA305" s="154"/>
      <c r="AB305" s="154"/>
      <c r="AC305" s="156" t="str">
        <f>IFERROR(IF(AND(V304="Probabilidad",V305="Probabilidad"),(AE304-(+AE304*Y305)),IF(AND(V304="Impacto",V305="Probabilidad"),(AE303-(+AE303*Y305)),IF(V305="Impacto",AE304,""))),"")</f>
        <v/>
      </c>
      <c r="AD305" s="157" t="str">
        <f t="shared" si="602"/>
        <v/>
      </c>
      <c r="AE305" s="158" t="str">
        <f t="shared" si="603"/>
        <v/>
      </c>
      <c r="AF305" s="157" t="str">
        <f t="shared" si="604"/>
        <v/>
      </c>
      <c r="AG305" s="158" t="str">
        <f>IFERROR(IF(AND(V304="Impacto",V305="Impacto"),(AG304-(+AG304*Y305)),IF(AND(V304="Probabilidad",V305="Impacto"),(AG303-(+AG303*Y305)),IF(V305="Probabilidad",AG304,""))),"")</f>
        <v/>
      </c>
      <c r="AH305" s="159" t="str">
        <f t="shared" si="605"/>
        <v/>
      </c>
      <c r="AI305" s="161"/>
      <c r="AJ305" s="181"/>
      <c r="AK305" s="185"/>
      <c r="AL305" s="187"/>
      <c r="AM305" s="195"/>
      <c r="AN305" s="183"/>
      <c r="AO305" s="190"/>
      <c r="AP305" s="249"/>
    </row>
    <row r="306" spans="1:73" ht="15" customHeight="1" x14ac:dyDescent="0.2">
      <c r="A306" s="214"/>
      <c r="B306" s="241"/>
      <c r="C306" s="241"/>
      <c r="D306" s="291"/>
      <c r="E306" s="181"/>
      <c r="F306" s="181"/>
      <c r="G306" s="181"/>
      <c r="H306" s="197"/>
      <c r="I306" s="242"/>
      <c r="J306" s="217"/>
      <c r="K306" s="183"/>
      <c r="L306" s="185"/>
      <c r="M306" s="205"/>
      <c r="N306" s="206"/>
      <c r="O306" s="203"/>
      <c r="P306" s="239">
        <f>IF(NOT(ISERROR(MATCH(O306,_xlfn.ANCHORARRAY(#REF!),0))),#REF!&amp;"Por favor no seleccionar los criterios de impacto",O306)</f>
        <v>0</v>
      </c>
      <c r="Q306" s="205"/>
      <c r="R306" s="206"/>
      <c r="S306" s="207"/>
      <c r="T306" s="152">
        <v>4</v>
      </c>
      <c r="U306" s="173"/>
      <c r="V306" s="153" t="str">
        <f t="shared" ref="V306:V308" si="606">IF(OR(W306="Preventivo",W306="Detectivo"),"Probabilidad",IF(W306="Correctivo","Impacto",""))</f>
        <v/>
      </c>
      <c r="W306" s="154"/>
      <c r="X306" s="154"/>
      <c r="Y306" s="155" t="str">
        <f t="shared" si="601"/>
        <v/>
      </c>
      <c r="Z306" s="154"/>
      <c r="AA306" s="154"/>
      <c r="AB306" s="154"/>
      <c r="AC306" s="156" t="str">
        <f t="shared" ref="AC306:AC308" si="607">IFERROR(IF(AND(V305="Probabilidad",V306="Probabilidad"),(AE305-(+AE305*Y306)),IF(AND(V305="Impacto",V306="Probabilidad"),(AE304-(+AE304*Y306)),IF(V306="Impacto",AE305,""))),"")</f>
        <v/>
      </c>
      <c r="AD306" s="157" t="str">
        <f t="shared" si="602"/>
        <v/>
      </c>
      <c r="AE306" s="158" t="str">
        <f t="shared" si="603"/>
        <v/>
      </c>
      <c r="AF306" s="157" t="str">
        <f t="shared" si="604"/>
        <v/>
      </c>
      <c r="AG306" s="158" t="str">
        <f t="shared" ref="AG306:AG308" si="608">IFERROR(IF(AND(V305="Impacto",V306="Impacto"),(AG305-(+AG305*Y306)),IF(AND(V305="Probabilidad",V306="Impacto"),(AG304-(+AG304*Y306)),IF(V306="Probabilidad",AG305,""))),"")</f>
        <v/>
      </c>
      <c r="AH306" s="159" t="str">
        <f>IFERROR(IF(OR(AND(AD306="Muy Baja",AF306="Leve"),AND(AD306="Muy Baja",AF306="Menor"),AND(AD306="Baja",AF306="Leve")),"Bajo",IF(OR(AND(AD306="Muy baja",AF306="Moderado"),AND(AD306="Baja",AF306="Menor"),AND(AD306="Baja",AF306="Moderado"),AND(AD306="Media",AF306="Leve"),AND(AD306="Media",AF306="Menor"),AND(AD306="Media",AF306="Moderado"),AND(AD306="Alta",AF306="Leve"),AND(AD306="Alta",AF306="Menor")),"Moderado",IF(OR(AND(AD306="Muy Baja",AF306="Mayor"),AND(AD306="Baja",AF306="Mayor"),AND(AD306="Media",AF306="Mayor"),AND(AD306="Alta",AF306="Moderado"),AND(AD306="Alta",AF306="Mayor"),AND(AD306="Muy Alta",AF306="Leve"),AND(AD306="Muy Alta",AF306="Menor"),AND(AD306="Muy Alta",AF306="Moderado"),AND(AD306="Muy Alta",AF306="Mayor")),"Alto",IF(OR(AND(AD306="Muy Baja",AF306="Catastrófico"),AND(AD306="Baja",AF306="Catastrófico"),AND(AD306="Media",AF306="Catastrófico"),AND(AD306="Alta",AF306="Catastrófico"),AND(AD306="Muy Alta",AF306="Catastrófico")),"Extremo","")))),"")</f>
        <v/>
      </c>
      <c r="AI306" s="161"/>
      <c r="AJ306" s="181"/>
      <c r="AK306" s="185"/>
      <c r="AL306" s="187"/>
      <c r="AM306" s="195"/>
      <c r="AN306" s="183"/>
      <c r="AO306" s="190"/>
      <c r="AP306" s="249"/>
    </row>
    <row r="307" spans="1:73" ht="15" customHeight="1" x14ac:dyDescent="0.2">
      <c r="A307" s="214"/>
      <c r="B307" s="241"/>
      <c r="C307" s="241"/>
      <c r="D307" s="291"/>
      <c r="E307" s="181"/>
      <c r="F307" s="181"/>
      <c r="G307" s="181"/>
      <c r="H307" s="197"/>
      <c r="I307" s="242"/>
      <c r="J307" s="217"/>
      <c r="K307" s="183"/>
      <c r="L307" s="185"/>
      <c r="M307" s="205"/>
      <c r="N307" s="206"/>
      <c r="O307" s="203"/>
      <c r="P307" s="239">
        <f>IF(NOT(ISERROR(MATCH(O307,_xlfn.ANCHORARRAY(#REF!),0))),N310&amp;"Por favor no seleccionar los criterios de impacto",O307)</f>
        <v>0</v>
      </c>
      <c r="Q307" s="205"/>
      <c r="R307" s="206"/>
      <c r="S307" s="207"/>
      <c r="T307" s="152">
        <v>5</v>
      </c>
      <c r="U307" s="173"/>
      <c r="V307" s="153" t="str">
        <f t="shared" si="606"/>
        <v/>
      </c>
      <c r="W307" s="154"/>
      <c r="X307" s="154"/>
      <c r="Y307" s="155" t="str">
        <f t="shared" si="601"/>
        <v/>
      </c>
      <c r="Z307" s="154"/>
      <c r="AA307" s="154"/>
      <c r="AB307" s="154"/>
      <c r="AC307" s="156" t="str">
        <f t="shared" si="607"/>
        <v/>
      </c>
      <c r="AD307" s="157" t="str">
        <f t="shared" si="602"/>
        <v/>
      </c>
      <c r="AE307" s="158" t="str">
        <f t="shared" si="603"/>
        <v/>
      </c>
      <c r="AF307" s="157" t="str">
        <f t="shared" si="604"/>
        <v/>
      </c>
      <c r="AG307" s="158" t="str">
        <f t="shared" si="608"/>
        <v/>
      </c>
      <c r="AH307" s="159" t="str">
        <f t="shared" ref="AH307:AH308" si="609">IFERROR(IF(OR(AND(AD307="Muy Baja",AF307="Leve"),AND(AD307="Muy Baja",AF307="Menor"),AND(AD307="Baja",AF307="Leve")),"Bajo",IF(OR(AND(AD307="Muy baja",AF307="Moderado"),AND(AD307="Baja",AF307="Menor"),AND(AD307="Baja",AF307="Moderado"),AND(AD307="Media",AF307="Leve"),AND(AD307="Media",AF307="Menor"),AND(AD307="Media",AF307="Moderado"),AND(AD307="Alta",AF307="Leve"),AND(AD307="Alta",AF307="Menor")),"Moderado",IF(OR(AND(AD307="Muy Baja",AF307="Mayor"),AND(AD307="Baja",AF307="Mayor"),AND(AD307="Media",AF307="Mayor"),AND(AD307="Alta",AF307="Moderado"),AND(AD307="Alta",AF307="Mayor"),AND(AD307="Muy Alta",AF307="Leve"),AND(AD307="Muy Alta",AF307="Menor"),AND(AD307="Muy Alta",AF307="Moderado"),AND(AD307="Muy Alta",AF307="Mayor")),"Alto",IF(OR(AND(AD307="Muy Baja",AF307="Catastrófico"),AND(AD307="Baja",AF307="Catastrófico"),AND(AD307="Media",AF307="Catastrófico"),AND(AD307="Alta",AF307="Catastrófico"),AND(AD307="Muy Alta",AF307="Catastrófico")),"Extremo","")))),"")</f>
        <v/>
      </c>
      <c r="AI307" s="161"/>
      <c r="AJ307" s="181"/>
      <c r="AK307" s="185"/>
      <c r="AL307" s="187"/>
      <c r="AM307" s="195"/>
      <c r="AN307" s="183"/>
      <c r="AO307" s="190"/>
      <c r="AP307" s="249"/>
    </row>
    <row r="308" spans="1:73" ht="15" customHeight="1" x14ac:dyDescent="0.2">
      <c r="A308" s="214"/>
      <c r="B308" s="241"/>
      <c r="C308" s="241"/>
      <c r="D308" s="291"/>
      <c r="E308" s="181"/>
      <c r="F308" s="181"/>
      <c r="G308" s="181"/>
      <c r="H308" s="197"/>
      <c r="I308" s="242"/>
      <c r="J308" s="217"/>
      <c r="K308" s="183"/>
      <c r="L308" s="185"/>
      <c r="M308" s="205"/>
      <c r="N308" s="206"/>
      <c r="O308" s="203"/>
      <c r="P308" s="239">
        <f>IF(NOT(ISERROR(MATCH(O308,_xlfn.ANCHORARRAY(#REF!),0))),N311&amp;"Por favor no seleccionar los criterios de impacto",O308)</f>
        <v>0</v>
      </c>
      <c r="Q308" s="205"/>
      <c r="R308" s="206"/>
      <c r="S308" s="207"/>
      <c r="T308" s="152">
        <v>6</v>
      </c>
      <c r="U308" s="173"/>
      <c r="V308" s="153" t="str">
        <f t="shared" si="606"/>
        <v/>
      </c>
      <c r="W308" s="154"/>
      <c r="X308" s="154"/>
      <c r="Y308" s="155" t="str">
        <f t="shared" si="601"/>
        <v/>
      </c>
      <c r="Z308" s="154"/>
      <c r="AA308" s="154"/>
      <c r="AB308" s="154"/>
      <c r="AC308" s="156" t="str">
        <f t="shared" si="607"/>
        <v/>
      </c>
      <c r="AD308" s="157" t="str">
        <f t="shared" si="602"/>
        <v/>
      </c>
      <c r="AE308" s="158" t="str">
        <f t="shared" si="603"/>
        <v/>
      </c>
      <c r="AF308" s="157" t="str">
        <f t="shared" si="604"/>
        <v/>
      </c>
      <c r="AG308" s="158" t="str">
        <f t="shared" si="608"/>
        <v/>
      </c>
      <c r="AH308" s="159" t="str">
        <f t="shared" si="609"/>
        <v/>
      </c>
      <c r="AI308" s="161"/>
      <c r="AJ308" s="181"/>
      <c r="AK308" s="185"/>
      <c r="AL308" s="187"/>
      <c r="AM308" s="195"/>
      <c r="AN308" s="183"/>
      <c r="AO308" s="191"/>
      <c r="AP308" s="250"/>
    </row>
    <row r="309" spans="1:73" ht="108.75" customHeight="1" x14ac:dyDescent="0.2">
      <c r="A309" s="214">
        <v>53</v>
      </c>
      <c r="B309" s="243" t="s">
        <v>246</v>
      </c>
      <c r="C309" s="243" t="s">
        <v>770</v>
      </c>
      <c r="D309" s="292" t="s">
        <v>268</v>
      </c>
      <c r="E309" s="181" t="s">
        <v>781</v>
      </c>
      <c r="F309" s="181" t="s">
        <v>782</v>
      </c>
      <c r="G309" s="181" t="s">
        <v>783</v>
      </c>
      <c r="H309" s="181" t="s">
        <v>784</v>
      </c>
      <c r="I309" s="242" t="s">
        <v>785</v>
      </c>
      <c r="J309" s="217" t="s">
        <v>230</v>
      </c>
      <c r="K309" s="183" t="s">
        <v>227</v>
      </c>
      <c r="L309" s="185">
        <v>9000</v>
      </c>
      <c r="M309" s="205" t="str">
        <f t="shared" ref="M309" si="610">IF(L309&lt;=0,"",IF(L309&lt;=2,"Muy Baja",IF(L309&lt;=24,"Baja",IF(L309&lt;=500,"Media",IF(L309&lt;=5000,"Alta","Muy Alta")))))</f>
        <v>Muy Alta</v>
      </c>
      <c r="N309" s="206">
        <f t="shared" ref="N309" si="611">IF(M309="","",IF(M309="Muy Baja",0.2,IF(M309="Baja",0.4,IF(M309="Media",0.6,IF(M309="Alta",0.8,IF(M309="Muy Alta",1,))))))</f>
        <v>1</v>
      </c>
      <c r="O309" s="203" t="s">
        <v>128</v>
      </c>
      <c r="P309" s="239" t="str">
        <f>IF(NOT(ISERROR(MATCH(O309,'Tabla Impacto'!$B$221:$B$223,0))),'Tabla Impacto'!$F$223&amp;"Por favor no seleccionar los criterios de impacto(Afectación Económica o presupuestal y Pérdida Reputacional)",O309)</f>
        <v xml:space="preserve">     Entre 50 y 100 SMLMV </v>
      </c>
      <c r="Q309" s="205" t="str">
        <f>IF(OR(P309='Tabla Impacto'!$C$11,P309='Tabla Impacto'!$D$11),"Leve",IF(OR(P309='Tabla Impacto'!$C$12,P309='Tabla Impacto'!$D$12),"Menor",IF(OR(P309='Tabla Impacto'!$C$13,P309='Tabla Impacto'!$D$13),"Moderado",IF(OR(P309='Tabla Impacto'!$C$14,P309='Tabla Impacto'!$D$14),"Mayor",IF(OR(P309='Tabla Impacto'!$C$15,P309='Tabla Impacto'!$D$15),"Catastrófico","")))))</f>
        <v>Moderado</v>
      </c>
      <c r="R309" s="206">
        <f t="shared" ref="R309" si="612">IF(Q309="","",IF(Q309="Leve",0.2,IF(Q309="Menor",0.4,IF(Q309="Moderado",0.6,IF(Q309="Mayor",0.8,IF(Q309="Catastrófico",1,))))))</f>
        <v>0.6</v>
      </c>
      <c r="S309" s="207" t="str">
        <f t="shared" ref="S309" si="613">IF(OR(AND(M309="Muy Baja",Q309="Leve"),AND(M309="Muy Baja",Q309="Menor"),AND(M309="Baja",Q309="Leve")),"Bajo",IF(OR(AND(M309="Muy baja",Q309="Moderado"),AND(M309="Baja",Q309="Menor"),AND(M309="Baja",Q309="Moderado"),AND(M309="Media",Q309="Leve"),AND(M309="Media",Q309="Menor"),AND(M309="Media",Q309="Moderado"),AND(M309="Alta",Q309="Leve"),AND(M309="Alta",Q309="Menor")),"Moderado",IF(OR(AND(M309="Muy Baja",Q309="Mayor"),AND(M309="Baja",Q309="Mayor"),AND(M309="Media",Q309="Mayor"),AND(M309="Alta",Q309="Moderado"),AND(M309="Alta",Q309="Mayor"),AND(M309="Muy Alta",Q309="Leve"),AND(M309="Muy Alta",Q309="Menor"),AND(M309="Muy Alta",Q309="Moderado"),AND(M309="Muy Alta",Q309="Mayor")),"Alto",IF(OR(AND(M309="Muy Baja",Q309="Catastrófico"),AND(M309="Baja",Q309="Catastrófico"),AND(M309="Media",Q309="Catastrófico"),AND(M309="Alta",Q309="Catastrófico"),AND(M309="Muy Alta",Q309="Catastrófico")),"Extremo",""))))</f>
        <v>Alto</v>
      </c>
      <c r="T309" s="152">
        <v>1</v>
      </c>
      <c r="U309" s="173" t="s">
        <v>795</v>
      </c>
      <c r="V309" s="153" t="str">
        <f>IF(OR(W309="Preventivo",W309="Detectivo"),"Probabilidad",IF(W309="Correctivo","Impacto",""))</f>
        <v>Probabilidad</v>
      </c>
      <c r="W309" s="154" t="s">
        <v>13</v>
      </c>
      <c r="X309" s="154" t="s">
        <v>8</v>
      </c>
      <c r="Y309" s="155" t="str">
        <f>IF(AND(W309="Preventivo",X309="Automático"),"50%",IF(AND(W309="Preventivo",X309="Manual"),"40%",IF(AND(W309="Detectivo",X309="Automático"),"40%",IF(AND(W309="Detectivo",X309="Manual"),"30%",IF(AND(W309="Correctivo",X309="Automático"),"35%",IF(AND(W309="Correctivo",X309="Manual"),"25%",""))))))</f>
        <v>40%</v>
      </c>
      <c r="Z309" s="154" t="s">
        <v>18</v>
      </c>
      <c r="AA309" s="154" t="s">
        <v>21</v>
      </c>
      <c r="AB309" s="154" t="s">
        <v>112</v>
      </c>
      <c r="AC309" s="156">
        <f>IFERROR(IF(V309="Probabilidad",(N309-(+N309*Y309)),IF(V309="Impacto",N309,"")),"")</f>
        <v>0.6</v>
      </c>
      <c r="AD309" s="157" t="str">
        <f>IFERROR(IF(AC309="","",IF(AC309&lt;=0.2,"Muy Baja",IF(AC309&lt;=0.4,"Baja",IF(AC309&lt;=0.6,"Media",IF(AC309&lt;=0.8,"Alta","Muy Alta"))))),"")</f>
        <v>Media</v>
      </c>
      <c r="AE309" s="158">
        <f>+AC309</f>
        <v>0.6</v>
      </c>
      <c r="AF309" s="157" t="str">
        <f>IFERROR(IF(AG309="","",IF(AG309&lt;=0.2,"Leve",IF(AG309&lt;=0.4,"Menor",IF(AG309&lt;=0.6,"Moderado",IF(AG309&lt;=0.8,"Mayor","Catastrófico"))))),"")</f>
        <v>Moderado</v>
      </c>
      <c r="AG309" s="158">
        <f>IFERROR(IF(V309="Impacto",(R309-(+R309*Y309)),IF(V309="Probabilidad",R309,"")),"")</f>
        <v>0.6</v>
      </c>
      <c r="AH309" s="159" t="str">
        <f>IFERROR(IF(OR(AND(AD309="Muy Baja",AF309="Leve"),AND(AD309="Muy Baja",AF309="Menor"),AND(AD309="Baja",AF309="Leve")),"Bajo",IF(OR(AND(AD309="Muy baja",AF309="Moderado"),AND(AD309="Baja",AF309="Menor"),AND(AD309="Baja",AF309="Moderado"),AND(AD309="Media",AF309="Leve"),AND(AD309="Media",AF309="Menor"),AND(AD309="Media",AF309="Moderado"),AND(AD309="Alta",AF309="Leve"),AND(AD309="Alta",AF309="Menor")),"Moderado",IF(OR(AND(AD309="Muy Baja",AF309="Mayor"),AND(AD309="Baja",AF309="Mayor"),AND(AD309="Media",AF309="Mayor"),AND(AD309="Alta",AF309="Moderado"),AND(AD309="Alta",AF309="Mayor"),AND(AD309="Muy Alta",AF309="Leve"),AND(AD309="Muy Alta",AF309="Menor"),AND(AD309="Muy Alta",AF309="Moderado"),AND(AD309="Muy Alta",AF309="Mayor")),"Alto",IF(OR(AND(AD309="Muy Baja",AF309="Catastrófico"),AND(AD309="Baja",AF309="Catastrófico"),AND(AD309="Media",AF309="Catastrófico"),AND(AD309="Alta",AF309="Catastrófico"),AND(AD309="Muy Alta",AF309="Catastrófico")),"Extremo","")))),"")</f>
        <v>Moderado</v>
      </c>
      <c r="AI309" s="161" t="s">
        <v>117</v>
      </c>
      <c r="AJ309" s="181" t="s">
        <v>807</v>
      </c>
      <c r="AK309" s="186" t="s">
        <v>183</v>
      </c>
      <c r="AL309" s="188">
        <v>45293</v>
      </c>
      <c r="AM309" s="194" t="s">
        <v>803</v>
      </c>
      <c r="AN309" s="184" t="s">
        <v>524</v>
      </c>
      <c r="AO309" s="190" t="s">
        <v>269</v>
      </c>
      <c r="AP309" s="248" t="s">
        <v>808</v>
      </c>
      <c r="AQ309" s="10"/>
      <c r="AR309" s="10"/>
      <c r="AS309" s="10"/>
      <c r="AT309" s="10"/>
      <c r="AU309" s="10"/>
      <c r="AV309" s="10"/>
      <c r="AW309" s="10"/>
      <c r="AX309" s="10"/>
      <c r="AY309" s="10"/>
      <c r="AZ309" s="10"/>
      <c r="BA309" s="10"/>
      <c r="BB309" s="10"/>
      <c r="BC309" s="10"/>
      <c r="BD309" s="10"/>
      <c r="BE309" s="10"/>
      <c r="BF309" s="10"/>
      <c r="BG309" s="10"/>
      <c r="BH309" s="10"/>
      <c r="BI309" s="10"/>
      <c r="BJ309" s="10"/>
      <c r="BK309" s="10"/>
      <c r="BL309" s="10"/>
      <c r="BM309" s="10"/>
      <c r="BN309" s="10"/>
      <c r="BO309" s="10"/>
      <c r="BP309" s="10"/>
      <c r="BQ309" s="10"/>
      <c r="BR309" s="10"/>
      <c r="BS309" s="10"/>
      <c r="BT309" s="10"/>
      <c r="BU309" s="10"/>
    </row>
    <row r="310" spans="1:73" ht="103.5" customHeight="1" x14ac:dyDescent="0.2">
      <c r="A310" s="214"/>
      <c r="B310" s="241"/>
      <c r="C310" s="241"/>
      <c r="D310" s="291"/>
      <c r="E310" s="181"/>
      <c r="F310" s="181"/>
      <c r="G310" s="181"/>
      <c r="H310" s="181"/>
      <c r="I310" s="242"/>
      <c r="J310" s="217"/>
      <c r="K310" s="183"/>
      <c r="L310" s="185"/>
      <c r="M310" s="205"/>
      <c r="N310" s="206"/>
      <c r="O310" s="203"/>
      <c r="P310" s="239">
        <f>IF(NOT(ISERROR(MATCH(O310,_xlfn.ANCHORARRAY(#REF!),0))),#REF!&amp;"Por favor no seleccionar los criterios de impacto",O310)</f>
        <v>0</v>
      </c>
      <c r="Q310" s="205"/>
      <c r="R310" s="206"/>
      <c r="S310" s="207"/>
      <c r="T310" s="152">
        <v>2</v>
      </c>
      <c r="U310" s="173" t="s">
        <v>796</v>
      </c>
      <c r="V310" s="153" t="str">
        <f>IF(OR(W310="Preventivo",W310="Detectivo"),"Probabilidad",IF(W310="Correctivo","Impacto",""))</f>
        <v>Probabilidad</v>
      </c>
      <c r="W310" s="154" t="s">
        <v>13</v>
      </c>
      <c r="X310" s="154" t="s">
        <v>8</v>
      </c>
      <c r="Y310" s="155" t="str">
        <f t="shared" ref="Y310:Y314" si="614">IF(AND(W310="Preventivo",X310="Automático"),"50%",IF(AND(W310="Preventivo",X310="Manual"),"40%",IF(AND(W310="Detectivo",X310="Automático"),"40%",IF(AND(W310="Detectivo",X310="Manual"),"30%",IF(AND(W310="Correctivo",X310="Automático"),"35%",IF(AND(W310="Correctivo",X310="Manual"),"25%",""))))))</f>
        <v>40%</v>
      </c>
      <c r="Z310" s="154" t="s">
        <v>18</v>
      </c>
      <c r="AA310" s="154" t="s">
        <v>21</v>
      </c>
      <c r="AB310" s="154" t="s">
        <v>112</v>
      </c>
      <c r="AC310" s="156">
        <f>IFERROR(IF(AND(V309="Probabilidad",V310="Probabilidad"),(AE309-(+AE309*Y310)),IF(V310="Probabilidad",(N309-(+N309*Y310)),IF(V310="Impacto",AE309,""))),"")</f>
        <v>0.36</v>
      </c>
      <c r="AD310" s="157" t="str">
        <f t="shared" ref="AD310:AD314" si="615">IFERROR(IF(AC310="","",IF(AC310&lt;=0.2,"Muy Baja",IF(AC310&lt;=0.4,"Baja",IF(AC310&lt;=0.6,"Media",IF(AC310&lt;=0.8,"Alta","Muy Alta"))))),"")</f>
        <v>Baja</v>
      </c>
      <c r="AE310" s="158">
        <f t="shared" ref="AE310:AE314" si="616">+AC310</f>
        <v>0.36</v>
      </c>
      <c r="AF310" s="157" t="str">
        <f t="shared" ref="AF310:AF314" si="617">IFERROR(IF(AG310="","",IF(AG310&lt;=0.2,"Leve",IF(AG310&lt;=0.4,"Menor",IF(AG310&lt;=0.6,"Moderado",IF(AG310&lt;=0.8,"Mayor","Catastrófico"))))),"")</f>
        <v>Moderado</v>
      </c>
      <c r="AG310" s="158">
        <f>IFERROR(IF(AND(V309="Impacto",V310="Impacto"),(AG309-(+AG309*Y310)),IF(V310="Impacto",(R309-(+R309*Y310)),IF(V310="Probabilidad",AG309,""))),"")</f>
        <v>0.6</v>
      </c>
      <c r="AH310" s="159" t="str">
        <f t="shared" ref="AH310:AH311" si="618">IFERROR(IF(OR(AND(AD310="Muy Baja",AF310="Leve"),AND(AD310="Muy Baja",AF310="Menor"),AND(AD310="Baja",AF310="Leve")),"Bajo",IF(OR(AND(AD310="Muy baja",AF310="Moderado"),AND(AD310="Baja",AF310="Menor"),AND(AD310="Baja",AF310="Moderado"),AND(AD310="Media",AF310="Leve"),AND(AD310="Media",AF310="Menor"),AND(AD310="Media",AF310="Moderado"),AND(AD310="Alta",AF310="Leve"),AND(AD310="Alta",AF310="Menor")),"Moderado",IF(OR(AND(AD310="Muy Baja",AF310="Mayor"),AND(AD310="Baja",AF310="Mayor"),AND(AD310="Media",AF310="Mayor"),AND(AD310="Alta",AF310="Moderado"),AND(AD310="Alta",AF310="Mayor"),AND(AD310="Muy Alta",AF310="Leve"),AND(AD310="Muy Alta",AF310="Menor"),AND(AD310="Muy Alta",AF310="Moderado"),AND(AD310="Muy Alta",AF310="Mayor")),"Alto",IF(OR(AND(AD310="Muy Baja",AF310="Catastrófico"),AND(AD310="Baja",AF310="Catastrófico"),AND(AD310="Media",AF310="Catastrófico"),AND(AD310="Alta",AF310="Catastrófico"),AND(AD310="Muy Alta",AF310="Catastrófico")),"Extremo","")))),"")</f>
        <v>Moderado</v>
      </c>
      <c r="AI310" s="161" t="s">
        <v>117</v>
      </c>
      <c r="AJ310" s="181"/>
      <c r="AK310" s="185"/>
      <c r="AL310" s="187"/>
      <c r="AM310" s="195"/>
      <c r="AN310" s="183"/>
      <c r="AO310" s="190"/>
      <c r="AP310" s="249"/>
    </row>
    <row r="311" spans="1:73" ht="101.25" customHeight="1" x14ac:dyDescent="0.2">
      <c r="A311" s="214"/>
      <c r="B311" s="241"/>
      <c r="C311" s="241"/>
      <c r="D311" s="291"/>
      <c r="E311" s="181"/>
      <c r="F311" s="181"/>
      <c r="G311" s="181"/>
      <c r="H311" s="181"/>
      <c r="I311" s="242"/>
      <c r="J311" s="217"/>
      <c r="K311" s="183"/>
      <c r="L311" s="185"/>
      <c r="M311" s="205"/>
      <c r="N311" s="206"/>
      <c r="O311" s="203"/>
      <c r="P311" s="239">
        <f>IF(NOT(ISERROR(MATCH(O311,_xlfn.ANCHORARRAY(#REF!),0))),#REF!&amp;"Por favor no seleccionar los criterios de impacto",O311)</f>
        <v>0</v>
      </c>
      <c r="Q311" s="205"/>
      <c r="R311" s="206"/>
      <c r="S311" s="207"/>
      <c r="T311" s="152">
        <v>3</v>
      </c>
      <c r="U311" s="173" t="s">
        <v>797</v>
      </c>
      <c r="V311" s="153" t="str">
        <f>IF(OR(W311="Preventivo",W311="Detectivo"),"Probabilidad",IF(W311="Correctivo","Impacto",""))</f>
        <v>Probabilidad</v>
      </c>
      <c r="W311" s="154" t="s">
        <v>13</v>
      </c>
      <c r="X311" s="154" t="s">
        <v>8</v>
      </c>
      <c r="Y311" s="155" t="str">
        <f t="shared" si="614"/>
        <v>40%</v>
      </c>
      <c r="Z311" s="154" t="s">
        <v>18</v>
      </c>
      <c r="AA311" s="154" t="s">
        <v>21</v>
      </c>
      <c r="AB311" s="154" t="s">
        <v>112</v>
      </c>
      <c r="AC311" s="156">
        <f>IFERROR(IF(AND(V310="Probabilidad",V311="Probabilidad"),(AE310-(+AE310*Y311)),IF(AND(V310="Impacto",V311="Probabilidad"),(AE309-(+AE309*Y311)),IF(V311="Impacto",AE310,""))),"")</f>
        <v>0.216</v>
      </c>
      <c r="AD311" s="157" t="str">
        <f t="shared" si="615"/>
        <v>Baja</v>
      </c>
      <c r="AE311" s="158">
        <f t="shared" si="616"/>
        <v>0.216</v>
      </c>
      <c r="AF311" s="157" t="str">
        <f t="shared" si="617"/>
        <v>Moderado</v>
      </c>
      <c r="AG311" s="158">
        <f>IFERROR(IF(AND(V310="Impacto",V311="Impacto"),(AG310-(+AG310*Y311)),IF(AND(V310="Probabilidad",V311="Impacto"),(AG309-(+AG309*Y311)),IF(V311="Probabilidad",AG310,""))),"")</f>
        <v>0.6</v>
      </c>
      <c r="AH311" s="159" t="str">
        <f t="shared" si="618"/>
        <v>Moderado</v>
      </c>
      <c r="AI311" s="161" t="s">
        <v>117</v>
      </c>
      <c r="AJ311" s="181"/>
      <c r="AK311" s="185"/>
      <c r="AL311" s="187"/>
      <c r="AM311" s="195"/>
      <c r="AN311" s="183"/>
      <c r="AO311" s="190"/>
      <c r="AP311" s="249"/>
    </row>
    <row r="312" spans="1:73" ht="15" customHeight="1" x14ac:dyDescent="0.2">
      <c r="A312" s="214"/>
      <c r="B312" s="241"/>
      <c r="C312" s="241"/>
      <c r="D312" s="291"/>
      <c r="E312" s="181"/>
      <c r="F312" s="181"/>
      <c r="G312" s="181"/>
      <c r="H312" s="181"/>
      <c r="I312" s="242"/>
      <c r="J312" s="217"/>
      <c r="K312" s="183"/>
      <c r="L312" s="185"/>
      <c r="M312" s="205"/>
      <c r="N312" s="206"/>
      <c r="O312" s="203"/>
      <c r="P312" s="239">
        <f>IF(NOT(ISERROR(MATCH(O312,_xlfn.ANCHORARRAY(#REF!),0))),#REF!&amp;"Por favor no seleccionar los criterios de impacto",O312)</f>
        <v>0</v>
      </c>
      <c r="Q312" s="205"/>
      <c r="R312" s="206"/>
      <c r="S312" s="207"/>
      <c r="T312" s="152">
        <v>4</v>
      </c>
      <c r="U312" s="173"/>
      <c r="V312" s="153" t="str">
        <f t="shared" ref="V312:V314" si="619">IF(OR(W312="Preventivo",W312="Detectivo"),"Probabilidad",IF(W312="Correctivo","Impacto",""))</f>
        <v/>
      </c>
      <c r="W312" s="154"/>
      <c r="X312" s="154"/>
      <c r="Y312" s="155" t="str">
        <f t="shared" si="614"/>
        <v/>
      </c>
      <c r="Z312" s="154"/>
      <c r="AA312" s="154"/>
      <c r="AB312" s="154"/>
      <c r="AC312" s="156" t="str">
        <f t="shared" ref="AC312:AC314" si="620">IFERROR(IF(AND(V311="Probabilidad",V312="Probabilidad"),(AE311-(+AE311*Y312)),IF(AND(V311="Impacto",V312="Probabilidad"),(AE310-(+AE310*Y312)),IF(V312="Impacto",AE311,""))),"")</f>
        <v/>
      </c>
      <c r="AD312" s="157" t="str">
        <f t="shared" si="615"/>
        <v/>
      </c>
      <c r="AE312" s="158" t="str">
        <f t="shared" si="616"/>
        <v/>
      </c>
      <c r="AF312" s="157" t="str">
        <f t="shared" si="617"/>
        <v/>
      </c>
      <c r="AG312" s="158" t="str">
        <f t="shared" ref="AG312:AG314" si="621">IFERROR(IF(AND(V311="Impacto",V312="Impacto"),(AG311-(+AG311*Y312)),IF(AND(V311="Probabilidad",V312="Impacto"),(AG310-(+AG310*Y312)),IF(V312="Probabilidad",AG311,""))),"")</f>
        <v/>
      </c>
      <c r="AH312" s="159" t="str">
        <f>IFERROR(IF(OR(AND(AD312="Muy Baja",AF312="Leve"),AND(AD312="Muy Baja",AF312="Menor"),AND(AD312="Baja",AF312="Leve")),"Bajo",IF(OR(AND(AD312="Muy baja",AF312="Moderado"),AND(AD312="Baja",AF312="Menor"),AND(AD312="Baja",AF312="Moderado"),AND(AD312="Media",AF312="Leve"),AND(AD312="Media",AF312="Menor"),AND(AD312="Media",AF312="Moderado"),AND(AD312="Alta",AF312="Leve"),AND(AD312="Alta",AF312="Menor")),"Moderado",IF(OR(AND(AD312="Muy Baja",AF312="Mayor"),AND(AD312="Baja",AF312="Mayor"),AND(AD312="Media",AF312="Mayor"),AND(AD312="Alta",AF312="Moderado"),AND(AD312="Alta",AF312="Mayor"),AND(AD312="Muy Alta",AF312="Leve"),AND(AD312="Muy Alta",AF312="Menor"),AND(AD312="Muy Alta",AF312="Moderado"),AND(AD312="Muy Alta",AF312="Mayor")),"Alto",IF(OR(AND(AD312="Muy Baja",AF312="Catastrófico"),AND(AD312="Baja",AF312="Catastrófico"),AND(AD312="Media",AF312="Catastrófico"),AND(AD312="Alta",AF312="Catastrófico"),AND(AD312="Muy Alta",AF312="Catastrófico")),"Extremo","")))),"")</f>
        <v/>
      </c>
      <c r="AI312" s="161"/>
      <c r="AJ312" s="181"/>
      <c r="AK312" s="185"/>
      <c r="AL312" s="187"/>
      <c r="AM312" s="195"/>
      <c r="AN312" s="183"/>
      <c r="AO312" s="190"/>
      <c r="AP312" s="249"/>
    </row>
    <row r="313" spans="1:73" ht="15" customHeight="1" x14ac:dyDescent="0.2">
      <c r="A313" s="214"/>
      <c r="B313" s="241"/>
      <c r="C313" s="241"/>
      <c r="D313" s="291"/>
      <c r="E313" s="181"/>
      <c r="F313" s="181"/>
      <c r="G313" s="181"/>
      <c r="H313" s="181"/>
      <c r="I313" s="242"/>
      <c r="J313" s="217"/>
      <c r="K313" s="183"/>
      <c r="L313" s="185"/>
      <c r="M313" s="205"/>
      <c r="N313" s="206"/>
      <c r="O313" s="203"/>
      <c r="P313" s="239">
        <f>IF(NOT(ISERROR(MATCH(O313,_xlfn.ANCHORARRAY(#REF!),0))),N316&amp;"Por favor no seleccionar los criterios de impacto",O313)</f>
        <v>0</v>
      </c>
      <c r="Q313" s="205"/>
      <c r="R313" s="206"/>
      <c r="S313" s="207"/>
      <c r="T313" s="152">
        <v>5</v>
      </c>
      <c r="U313" s="173"/>
      <c r="V313" s="153" t="str">
        <f t="shared" si="619"/>
        <v/>
      </c>
      <c r="W313" s="154"/>
      <c r="X313" s="154"/>
      <c r="Y313" s="155" t="str">
        <f t="shared" si="614"/>
        <v/>
      </c>
      <c r="Z313" s="154"/>
      <c r="AA313" s="154"/>
      <c r="AB313" s="154"/>
      <c r="AC313" s="156" t="str">
        <f t="shared" si="620"/>
        <v/>
      </c>
      <c r="AD313" s="157" t="str">
        <f t="shared" si="615"/>
        <v/>
      </c>
      <c r="AE313" s="158" t="str">
        <f t="shared" si="616"/>
        <v/>
      </c>
      <c r="AF313" s="157" t="str">
        <f t="shared" si="617"/>
        <v/>
      </c>
      <c r="AG313" s="158" t="str">
        <f t="shared" si="621"/>
        <v/>
      </c>
      <c r="AH313" s="159" t="str">
        <f t="shared" ref="AH313:AH314" si="622">IFERROR(IF(OR(AND(AD313="Muy Baja",AF313="Leve"),AND(AD313="Muy Baja",AF313="Menor"),AND(AD313="Baja",AF313="Leve")),"Bajo",IF(OR(AND(AD313="Muy baja",AF313="Moderado"),AND(AD313="Baja",AF313="Menor"),AND(AD313="Baja",AF313="Moderado"),AND(AD313="Media",AF313="Leve"),AND(AD313="Media",AF313="Menor"),AND(AD313="Media",AF313="Moderado"),AND(AD313="Alta",AF313="Leve"),AND(AD313="Alta",AF313="Menor")),"Moderado",IF(OR(AND(AD313="Muy Baja",AF313="Mayor"),AND(AD313="Baja",AF313="Mayor"),AND(AD313="Media",AF313="Mayor"),AND(AD313="Alta",AF313="Moderado"),AND(AD313="Alta",AF313="Mayor"),AND(AD313="Muy Alta",AF313="Leve"),AND(AD313="Muy Alta",AF313="Menor"),AND(AD313="Muy Alta",AF313="Moderado"),AND(AD313="Muy Alta",AF313="Mayor")),"Alto",IF(OR(AND(AD313="Muy Baja",AF313="Catastrófico"),AND(AD313="Baja",AF313="Catastrófico"),AND(AD313="Media",AF313="Catastrófico"),AND(AD313="Alta",AF313="Catastrófico"),AND(AD313="Muy Alta",AF313="Catastrófico")),"Extremo","")))),"")</f>
        <v/>
      </c>
      <c r="AI313" s="161"/>
      <c r="AJ313" s="181"/>
      <c r="AK313" s="185"/>
      <c r="AL313" s="187"/>
      <c r="AM313" s="195"/>
      <c r="AN313" s="183"/>
      <c r="AO313" s="190"/>
      <c r="AP313" s="249"/>
    </row>
    <row r="314" spans="1:73" ht="15" customHeight="1" x14ac:dyDescent="0.2">
      <c r="A314" s="214"/>
      <c r="B314" s="241"/>
      <c r="C314" s="241"/>
      <c r="D314" s="291"/>
      <c r="E314" s="181"/>
      <c r="F314" s="181"/>
      <c r="G314" s="181"/>
      <c r="H314" s="181"/>
      <c r="I314" s="242"/>
      <c r="J314" s="217"/>
      <c r="K314" s="183"/>
      <c r="L314" s="185"/>
      <c r="M314" s="205"/>
      <c r="N314" s="206"/>
      <c r="O314" s="203"/>
      <c r="P314" s="239">
        <f>IF(NOT(ISERROR(MATCH(O314,_xlfn.ANCHORARRAY(#REF!),0))),N317&amp;"Por favor no seleccionar los criterios de impacto",O314)</f>
        <v>0</v>
      </c>
      <c r="Q314" s="205"/>
      <c r="R314" s="206"/>
      <c r="S314" s="207"/>
      <c r="T314" s="152">
        <v>6</v>
      </c>
      <c r="U314" s="173"/>
      <c r="V314" s="153" t="str">
        <f t="shared" si="619"/>
        <v/>
      </c>
      <c r="W314" s="154"/>
      <c r="X314" s="154"/>
      <c r="Y314" s="155" t="str">
        <f t="shared" si="614"/>
        <v/>
      </c>
      <c r="Z314" s="154"/>
      <c r="AA314" s="154"/>
      <c r="AB314" s="154"/>
      <c r="AC314" s="156" t="str">
        <f t="shared" si="620"/>
        <v/>
      </c>
      <c r="AD314" s="157" t="str">
        <f t="shared" si="615"/>
        <v/>
      </c>
      <c r="AE314" s="158" t="str">
        <f t="shared" si="616"/>
        <v/>
      </c>
      <c r="AF314" s="157" t="str">
        <f t="shared" si="617"/>
        <v/>
      </c>
      <c r="AG314" s="158" t="str">
        <f t="shared" si="621"/>
        <v/>
      </c>
      <c r="AH314" s="159" t="str">
        <f t="shared" si="622"/>
        <v/>
      </c>
      <c r="AI314" s="161"/>
      <c r="AJ314" s="181"/>
      <c r="AK314" s="185"/>
      <c r="AL314" s="187"/>
      <c r="AM314" s="195"/>
      <c r="AN314" s="183"/>
      <c r="AO314" s="191"/>
      <c r="AP314" s="250"/>
    </row>
    <row r="315" spans="1:73" ht="99" customHeight="1" x14ac:dyDescent="0.2">
      <c r="A315" s="214">
        <v>54</v>
      </c>
      <c r="B315" s="243" t="s">
        <v>246</v>
      </c>
      <c r="C315" s="243" t="s">
        <v>770</v>
      </c>
      <c r="D315" s="292" t="s">
        <v>268</v>
      </c>
      <c r="E315" s="181" t="s">
        <v>786</v>
      </c>
      <c r="F315" s="181" t="s">
        <v>787</v>
      </c>
      <c r="G315" s="181" t="s">
        <v>788</v>
      </c>
      <c r="H315" s="181" t="s">
        <v>789</v>
      </c>
      <c r="I315" s="242" t="s">
        <v>790</v>
      </c>
      <c r="J315" s="217" t="s">
        <v>237</v>
      </c>
      <c r="K315" s="183" t="s">
        <v>242</v>
      </c>
      <c r="L315" s="185">
        <v>720</v>
      </c>
      <c r="M315" s="205" t="str">
        <f t="shared" ref="M315" si="623">IF(L315&lt;=0,"",IF(L315&lt;=2,"Muy Baja",IF(L315&lt;=24,"Baja",IF(L315&lt;=500,"Media",IF(L315&lt;=5000,"Alta","Muy Alta")))))</f>
        <v>Alta</v>
      </c>
      <c r="N315" s="206">
        <f t="shared" ref="N315" si="624">IF(M315="","",IF(M315="Muy Baja",0.2,IF(M315="Baja",0.4,IF(M315="Media",0.6,IF(M315="Alta",0.8,IF(M315="Muy Alta",1,))))))</f>
        <v>0.8</v>
      </c>
      <c r="O315" s="203" t="s">
        <v>136</v>
      </c>
      <c r="P315" s="239" t="str">
        <f>IF(NOT(ISERROR(MATCH(O315,'Tabla Impacto'!$B$221:$B$223,0))),'Tabla Impacto'!$F$223&amp;"Por favor no seleccionar los criterios de impacto(Afectación Económica o presupuestal y Pérdida Reputacional)",O315)</f>
        <v xml:space="preserve">     El riesgo afecta la imagen de la entidad a nivel nacional, con efecto publicitarios sostenible a nivel país</v>
      </c>
      <c r="Q315" s="205" t="str">
        <f>IF(OR(P315='Tabla Impacto'!$C$11,P315='Tabla Impacto'!$D$11),"Leve",IF(OR(P315='Tabla Impacto'!$C$12,P315='Tabla Impacto'!$D$12),"Menor",IF(OR(P315='Tabla Impacto'!$C$13,P315='Tabla Impacto'!$D$13),"Moderado",IF(OR(P315='Tabla Impacto'!$C$14,P315='Tabla Impacto'!$D$14),"Mayor",IF(OR(P315='Tabla Impacto'!$C$15,P315='Tabla Impacto'!$D$15),"Catastrófico","")))))</f>
        <v>Catastrófico</v>
      </c>
      <c r="R315" s="206">
        <f t="shared" ref="R315" si="625">IF(Q315="","",IF(Q315="Leve",0.2,IF(Q315="Menor",0.4,IF(Q315="Moderado",0.6,IF(Q315="Mayor",0.8,IF(Q315="Catastrófico",1,))))))</f>
        <v>1</v>
      </c>
      <c r="S315" s="207" t="str">
        <f t="shared" ref="S315" si="626">IF(OR(AND(M315="Muy Baja",Q315="Leve"),AND(M315="Muy Baja",Q315="Menor"),AND(M315="Baja",Q315="Leve")),"Bajo",IF(OR(AND(M315="Muy baja",Q315="Moderado"),AND(M315="Baja",Q315="Menor"),AND(M315="Baja",Q315="Moderado"),AND(M315="Media",Q315="Leve"),AND(M315="Media",Q315="Menor"),AND(M315="Media",Q315="Moderado"),AND(M315="Alta",Q315="Leve"),AND(M315="Alta",Q315="Menor")),"Moderado",IF(OR(AND(M315="Muy Baja",Q315="Mayor"),AND(M315="Baja",Q315="Mayor"),AND(M315="Media",Q315="Mayor"),AND(M315="Alta",Q315="Moderado"),AND(M315="Alta",Q315="Mayor"),AND(M315="Muy Alta",Q315="Leve"),AND(M315="Muy Alta",Q315="Menor"),AND(M315="Muy Alta",Q315="Moderado"),AND(M315="Muy Alta",Q315="Mayor")),"Alto",IF(OR(AND(M315="Muy Baja",Q315="Catastrófico"),AND(M315="Baja",Q315="Catastrófico"),AND(M315="Media",Q315="Catastrófico"),AND(M315="Alta",Q315="Catastrófico"),AND(M315="Muy Alta",Q315="Catastrófico")),"Extremo",""))))</f>
        <v>Extremo</v>
      </c>
      <c r="T315" s="152">
        <v>1</v>
      </c>
      <c r="U315" s="173" t="s">
        <v>798</v>
      </c>
      <c r="V315" s="153" t="str">
        <f>IF(OR(W315="Preventivo",W315="Detectivo"),"Probabilidad",IF(W315="Correctivo","Impacto",""))</f>
        <v>Probabilidad</v>
      </c>
      <c r="W315" s="171" t="s">
        <v>13</v>
      </c>
      <c r="X315" s="171" t="s">
        <v>8</v>
      </c>
      <c r="Y315" s="155" t="str">
        <f>IF(AND(W315="Preventivo",X315="Automático"),"50%",IF(AND(W315="Preventivo",X315="Manual"),"40%",IF(AND(W315="Detectivo",X315="Automático"),"40%",IF(AND(W315="Detectivo",X315="Manual"),"30%",IF(AND(W315="Correctivo",X315="Automático"),"35%",IF(AND(W315="Correctivo",X315="Manual"),"25%",""))))))</f>
        <v>40%</v>
      </c>
      <c r="Z315" s="171" t="s">
        <v>18</v>
      </c>
      <c r="AA315" s="171" t="s">
        <v>21</v>
      </c>
      <c r="AB315" s="171" t="s">
        <v>112</v>
      </c>
      <c r="AC315" s="156">
        <f>IFERROR(IF(V315="Probabilidad",(N315-(+N315*Y315)),IF(V315="Impacto",N315,"")),"")</f>
        <v>0.48</v>
      </c>
      <c r="AD315" s="157" t="str">
        <f>IFERROR(IF(AC315="","",IF(AC315&lt;=0.2,"Muy Baja",IF(AC315&lt;=0.4,"Baja",IF(AC315&lt;=0.6,"Media",IF(AC315&lt;=0.8,"Alta","Muy Alta"))))),"")</f>
        <v>Media</v>
      </c>
      <c r="AE315" s="158">
        <f>+AC315</f>
        <v>0.48</v>
      </c>
      <c r="AF315" s="157" t="str">
        <f>IFERROR(IF(AG315="","",IF(AG315&lt;=0.2,"Leve",IF(AG315&lt;=0.4,"Menor",IF(AG315&lt;=0.6,"Moderado",IF(AG315&lt;=0.8,"Mayor","Catastrófico"))))),"")</f>
        <v>Catastrófico</v>
      </c>
      <c r="AG315" s="158">
        <f>IFERROR(IF(V315="Impacto",(R315-(+R315*Y315)),IF(V315="Probabilidad",R315,"")),"")</f>
        <v>1</v>
      </c>
      <c r="AH315" s="159" t="str">
        <f>IFERROR(IF(OR(AND(AD315="Muy Baja",AF315="Leve"),AND(AD315="Muy Baja",AF315="Menor"),AND(AD315="Baja",AF315="Leve")),"Bajo",IF(OR(AND(AD315="Muy baja",AF315="Moderado"),AND(AD315="Baja",AF315="Menor"),AND(AD315="Baja",AF315="Moderado"),AND(AD315="Media",AF315="Leve"),AND(AD315="Media",AF315="Menor"),AND(AD315="Media",AF315="Moderado"),AND(AD315="Alta",AF315="Leve"),AND(AD315="Alta",AF315="Menor")),"Moderado",IF(OR(AND(AD315="Muy Baja",AF315="Mayor"),AND(AD315="Baja",AF315="Mayor"),AND(AD315="Media",AF315="Mayor"),AND(AD315="Alta",AF315="Moderado"),AND(AD315="Alta",AF315="Mayor"),AND(AD315="Muy Alta",AF315="Leve"),AND(AD315="Muy Alta",AF315="Menor"),AND(AD315="Muy Alta",AF315="Moderado"),AND(AD315="Muy Alta",AF315="Mayor")),"Alto",IF(OR(AND(AD315="Muy Baja",AF315="Catastrófico"),AND(AD315="Baja",AF315="Catastrófico"),AND(AD315="Media",AF315="Catastrófico"),AND(AD315="Alta",AF315="Catastrófico"),AND(AD315="Muy Alta",AF315="Catastrófico")),"Extremo","")))),"")</f>
        <v>Extremo</v>
      </c>
      <c r="AI315" s="161" t="s">
        <v>117</v>
      </c>
      <c r="AJ315" s="181" t="s">
        <v>809</v>
      </c>
      <c r="AK315" s="186" t="s">
        <v>183</v>
      </c>
      <c r="AL315" s="188">
        <v>45293</v>
      </c>
      <c r="AM315" s="183" t="s">
        <v>368</v>
      </c>
      <c r="AN315" s="185" t="s">
        <v>810</v>
      </c>
      <c r="AO315" s="190" t="s">
        <v>269</v>
      </c>
      <c r="AP315" s="248" t="s">
        <v>811</v>
      </c>
      <c r="AQ315" s="10"/>
      <c r="AR315" s="10"/>
      <c r="AS315" s="10"/>
      <c r="AT315" s="10"/>
      <c r="AU315" s="10"/>
      <c r="AV315" s="10"/>
      <c r="AW315" s="10"/>
      <c r="AX315" s="10"/>
      <c r="AY315" s="10"/>
      <c r="AZ315" s="10"/>
      <c r="BA315" s="10"/>
      <c r="BB315" s="10"/>
      <c r="BC315" s="10"/>
      <c r="BD315" s="10"/>
      <c r="BE315" s="10"/>
      <c r="BF315" s="10"/>
      <c r="BG315" s="10"/>
      <c r="BH315" s="10"/>
      <c r="BI315" s="10"/>
      <c r="BJ315" s="10"/>
      <c r="BK315" s="10"/>
      <c r="BL315" s="10"/>
      <c r="BM315" s="10"/>
      <c r="BN315" s="10"/>
      <c r="BO315" s="10"/>
      <c r="BP315" s="10"/>
      <c r="BQ315" s="10"/>
      <c r="BR315" s="10"/>
      <c r="BS315" s="10"/>
      <c r="BT315" s="10"/>
      <c r="BU315" s="10"/>
    </row>
    <row r="316" spans="1:73" ht="112.5" customHeight="1" x14ac:dyDescent="0.2">
      <c r="A316" s="214"/>
      <c r="B316" s="241"/>
      <c r="C316" s="241"/>
      <c r="D316" s="291"/>
      <c r="E316" s="181"/>
      <c r="F316" s="181"/>
      <c r="G316" s="181"/>
      <c r="H316" s="181"/>
      <c r="I316" s="242"/>
      <c r="J316" s="217"/>
      <c r="K316" s="183"/>
      <c r="L316" s="185"/>
      <c r="M316" s="205"/>
      <c r="N316" s="206"/>
      <c r="O316" s="203"/>
      <c r="P316" s="239">
        <f>IF(NOT(ISERROR(MATCH(O316,_xlfn.ANCHORARRAY(#REF!),0))),#REF!&amp;"Por favor no seleccionar los criterios de impacto",O316)</f>
        <v>0</v>
      </c>
      <c r="Q316" s="205"/>
      <c r="R316" s="206"/>
      <c r="S316" s="207"/>
      <c r="T316" s="152">
        <v>2</v>
      </c>
      <c r="U316" s="173" t="s">
        <v>799</v>
      </c>
      <c r="V316" s="153" t="str">
        <f>IF(OR(W316="Preventivo",W316="Detectivo"),"Probabilidad",IF(W316="Correctivo","Impacto",""))</f>
        <v>Probabilidad</v>
      </c>
      <c r="W316" s="171" t="s">
        <v>13</v>
      </c>
      <c r="X316" s="171" t="s">
        <v>8</v>
      </c>
      <c r="Y316" s="155" t="str">
        <f t="shared" ref="Y316:Y320" si="627">IF(AND(W316="Preventivo",X316="Automático"),"50%",IF(AND(W316="Preventivo",X316="Manual"),"40%",IF(AND(W316="Detectivo",X316="Automático"),"40%",IF(AND(W316="Detectivo",X316="Manual"),"30%",IF(AND(W316="Correctivo",X316="Automático"),"35%",IF(AND(W316="Correctivo",X316="Manual"),"25%",""))))))</f>
        <v>40%</v>
      </c>
      <c r="Z316" s="171" t="s">
        <v>18</v>
      </c>
      <c r="AA316" s="171" t="s">
        <v>21</v>
      </c>
      <c r="AB316" s="171" t="s">
        <v>112</v>
      </c>
      <c r="AC316" s="156">
        <f>IFERROR(IF(AND(V315="Probabilidad",V316="Probabilidad"),(AE315-(+AE315*Y316)),IF(V316="Probabilidad",(N315-(+N315*Y316)),IF(V316="Impacto",AE315,""))),"")</f>
        <v>0.28799999999999998</v>
      </c>
      <c r="AD316" s="157" t="str">
        <f t="shared" ref="AD316:AD320" si="628">IFERROR(IF(AC316="","",IF(AC316&lt;=0.2,"Muy Baja",IF(AC316&lt;=0.4,"Baja",IF(AC316&lt;=0.6,"Media",IF(AC316&lt;=0.8,"Alta","Muy Alta"))))),"")</f>
        <v>Baja</v>
      </c>
      <c r="AE316" s="158">
        <f t="shared" ref="AE316:AE320" si="629">+AC316</f>
        <v>0.28799999999999998</v>
      </c>
      <c r="AF316" s="157" t="str">
        <f t="shared" ref="AF316:AF320" si="630">IFERROR(IF(AG316="","",IF(AG316&lt;=0.2,"Leve",IF(AG316&lt;=0.4,"Menor",IF(AG316&lt;=0.6,"Moderado",IF(AG316&lt;=0.8,"Mayor","Catastrófico"))))),"")</f>
        <v>Catastrófico</v>
      </c>
      <c r="AG316" s="158">
        <f>IFERROR(IF(AND(V315="Impacto",V316="Impacto"),(AG315-(+AG315*Y316)),IF(V316="Impacto",(R315-(+R315*Y316)),IF(V316="Probabilidad",AG315,""))),"")</f>
        <v>1</v>
      </c>
      <c r="AH316" s="159" t="str">
        <f t="shared" ref="AH316:AH317" si="631">IFERROR(IF(OR(AND(AD316="Muy Baja",AF316="Leve"),AND(AD316="Muy Baja",AF316="Menor"),AND(AD316="Baja",AF316="Leve")),"Bajo",IF(OR(AND(AD316="Muy baja",AF316="Moderado"),AND(AD316="Baja",AF316="Menor"),AND(AD316="Baja",AF316="Moderado"),AND(AD316="Media",AF316="Leve"),AND(AD316="Media",AF316="Menor"),AND(AD316="Media",AF316="Moderado"),AND(AD316="Alta",AF316="Leve"),AND(AD316="Alta",AF316="Menor")),"Moderado",IF(OR(AND(AD316="Muy Baja",AF316="Mayor"),AND(AD316="Baja",AF316="Mayor"),AND(AD316="Media",AF316="Mayor"),AND(AD316="Alta",AF316="Moderado"),AND(AD316="Alta",AF316="Mayor"),AND(AD316="Muy Alta",AF316="Leve"),AND(AD316="Muy Alta",AF316="Menor"),AND(AD316="Muy Alta",AF316="Moderado"),AND(AD316="Muy Alta",AF316="Mayor")),"Alto",IF(OR(AND(AD316="Muy Baja",AF316="Catastrófico"),AND(AD316="Baja",AF316="Catastrófico"),AND(AD316="Media",AF316="Catastrófico"),AND(AD316="Alta",AF316="Catastrófico"),AND(AD316="Muy Alta",AF316="Catastrófico")),"Extremo","")))),"")</f>
        <v>Extremo</v>
      </c>
      <c r="AI316" s="161" t="s">
        <v>117</v>
      </c>
      <c r="AJ316" s="181"/>
      <c r="AK316" s="185"/>
      <c r="AL316" s="187"/>
      <c r="AM316" s="185"/>
      <c r="AN316" s="185"/>
      <c r="AO316" s="190"/>
      <c r="AP316" s="249"/>
    </row>
    <row r="317" spans="1:73" ht="96" customHeight="1" x14ac:dyDescent="0.2">
      <c r="A317" s="214"/>
      <c r="B317" s="241"/>
      <c r="C317" s="241"/>
      <c r="D317" s="291"/>
      <c r="E317" s="181"/>
      <c r="F317" s="181"/>
      <c r="G317" s="181"/>
      <c r="H317" s="181"/>
      <c r="I317" s="242"/>
      <c r="J317" s="217"/>
      <c r="K317" s="183"/>
      <c r="L317" s="185"/>
      <c r="M317" s="205"/>
      <c r="N317" s="206"/>
      <c r="O317" s="203"/>
      <c r="P317" s="239">
        <f>IF(NOT(ISERROR(MATCH(O317,_xlfn.ANCHORARRAY(#REF!),0))),#REF!&amp;"Por favor no seleccionar los criterios de impacto",O317)</f>
        <v>0</v>
      </c>
      <c r="Q317" s="205"/>
      <c r="R317" s="206"/>
      <c r="S317" s="207"/>
      <c r="T317" s="152">
        <v>3</v>
      </c>
      <c r="U317" s="173" t="s">
        <v>800</v>
      </c>
      <c r="V317" s="153" t="str">
        <f>IF(OR(W317="Preventivo",W317="Detectivo"),"Probabilidad",IF(W317="Correctivo","Impacto",""))</f>
        <v>Probabilidad</v>
      </c>
      <c r="W317" s="171" t="s">
        <v>14</v>
      </c>
      <c r="X317" s="171" t="s">
        <v>8</v>
      </c>
      <c r="Y317" s="155" t="str">
        <f t="shared" si="627"/>
        <v>30%</v>
      </c>
      <c r="Z317" s="171" t="s">
        <v>18</v>
      </c>
      <c r="AA317" s="171" t="s">
        <v>21</v>
      </c>
      <c r="AB317" s="171" t="s">
        <v>112</v>
      </c>
      <c r="AC317" s="156">
        <f>IFERROR(IF(AND(V316="Probabilidad",V317="Probabilidad"),(AE316-(+AE316*Y317)),IF(AND(V316="Impacto",V317="Probabilidad"),(AE315-(+AE315*Y317)),IF(V317="Impacto",AE316,""))),"")</f>
        <v>0.2016</v>
      </c>
      <c r="AD317" s="157" t="str">
        <f t="shared" si="628"/>
        <v>Baja</v>
      </c>
      <c r="AE317" s="158">
        <f t="shared" si="629"/>
        <v>0.2016</v>
      </c>
      <c r="AF317" s="157" t="str">
        <f t="shared" si="630"/>
        <v>Catastrófico</v>
      </c>
      <c r="AG317" s="158">
        <f>IFERROR(IF(AND(V316="Impacto",V317="Impacto"),(AG316-(+AG316*Y317)),IF(AND(V316="Probabilidad",V317="Impacto"),(AG315-(+AG315*Y317)),IF(V317="Probabilidad",AG316,""))),"")</f>
        <v>1</v>
      </c>
      <c r="AH317" s="159" t="str">
        <f t="shared" si="631"/>
        <v>Extremo</v>
      </c>
      <c r="AI317" s="161" t="s">
        <v>117</v>
      </c>
      <c r="AJ317" s="181"/>
      <c r="AK317" s="185"/>
      <c r="AL317" s="187"/>
      <c r="AM317" s="185"/>
      <c r="AN317" s="185"/>
      <c r="AO317" s="190"/>
      <c r="AP317" s="249"/>
    </row>
    <row r="318" spans="1:73" ht="87.75" customHeight="1" x14ac:dyDescent="0.2">
      <c r="A318" s="214"/>
      <c r="B318" s="241"/>
      <c r="C318" s="241"/>
      <c r="D318" s="291"/>
      <c r="E318" s="181"/>
      <c r="F318" s="181"/>
      <c r="G318" s="181"/>
      <c r="H318" s="181"/>
      <c r="I318" s="242"/>
      <c r="J318" s="217"/>
      <c r="K318" s="183"/>
      <c r="L318" s="185"/>
      <c r="M318" s="205"/>
      <c r="N318" s="206"/>
      <c r="O318" s="203"/>
      <c r="P318" s="239">
        <f>IF(NOT(ISERROR(MATCH(O318,_xlfn.ANCHORARRAY(#REF!),0))),#REF!&amp;"Por favor no seleccionar los criterios de impacto",O318)</f>
        <v>0</v>
      </c>
      <c r="Q318" s="205"/>
      <c r="R318" s="206"/>
      <c r="S318" s="207"/>
      <c r="T318" s="152">
        <v>4</v>
      </c>
      <c r="U318" s="173" t="s">
        <v>801</v>
      </c>
      <c r="V318" s="153" t="str">
        <f t="shared" ref="V318:V320" si="632">IF(OR(W318="Preventivo",W318="Detectivo"),"Probabilidad",IF(W318="Correctivo","Impacto",""))</f>
        <v>Probabilidad</v>
      </c>
      <c r="W318" s="171" t="s">
        <v>14</v>
      </c>
      <c r="X318" s="171" t="s">
        <v>8</v>
      </c>
      <c r="Y318" s="155" t="str">
        <f t="shared" si="627"/>
        <v>30%</v>
      </c>
      <c r="Z318" s="171" t="s">
        <v>18</v>
      </c>
      <c r="AA318" s="171" t="s">
        <v>21</v>
      </c>
      <c r="AB318" s="171" t="s">
        <v>112</v>
      </c>
      <c r="AC318" s="156">
        <f t="shared" ref="AC318:AC320" si="633">IFERROR(IF(AND(V317="Probabilidad",V318="Probabilidad"),(AE317-(+AE317*Y318)),IF(AND(V317="Impacto",V318="Probabilidad"),(AE316-(+AE316*Y318)),IF(V318="Impacto",AE317,""))),"")</f>
        <v>0.14112</v>
      </c>
      <c r="AD318" s="157" t="str">
        <f t="shared" si="628"/>
        <v>Muy Baja</v>
      </c>
      <c r="AE318" s="158">
        <f t="shared" si="629"/>
        <v>0.14112</v>
      </c>
      <c r="AF318" s="157" t="str">
        <f t="shared" si="630"/>
        <v>Catastrófico</v>
      </c>
      <c r="AG318" s="158">
        <f t="shared" ref="AG318:AG320" si="634">IFERROR(IF(AND(V317="Impacto",V318="Impacto"),(AG317-(+AG317*Y318)),IF(AND(V317="Probabilidad",V318="Impacto"),(AG316-(+AG316*Y318)),IF(V318="Probabilidad",AG317,""))),"")</f>
        <v>1</v>
      </c>
      <c r="AH318" s="159" t="str">
        <f>IFERROR(IF(OR(AND(AD318="Muy Baja",AF318="Leve"),AND(AD318="Muy Baja",AF318="Menor"),AND(AD318="Baja",AF318="Leve")),"Bajo",IF(OR(AND(AD318="Muy baja",AF318="Moderado"),AND(AD318="Baja",AF318="Menor"),AND(AD318="Baja",AF318="Moderado"),AND(AD318="Media",AF318="Leve"),AND(AD318="Media",AF318="Menor"),AND(AD318="Media",AF318="Moderado"),AND(AD318="Alta",AF318="Leve"),AND(AD318="Alta",AF318="Menor")),"Moderado",IF(OR(AND(AD318="Muy Baja",AF318="Mayor"),AND(AD318="Baja",AF318="Mayor"),AND(AD318="Media",AF318="Mayor"),AND(AD318="Alta",AF318="Moderado"),AND(AD318="Alta",AF318="Mayor"),AND(AD318="Muy Alta",AF318="Leve"),AND(AD318="Muy Alta",AF318="Menor"),AND(AD318="Muy Alta",AF318="Moderado"),AND(AD318="Muy Alta",AF318="Mayor")),"Alto",IF(OR(AND(AD318="Muy Baja",AF318="Catastrófico"),AND(AD318="Baja",AF318="Catastrófico"),AND(AD318="Media",AF318="Catastrófico"),AND(AD318="Alta",AF318="Catastrófico"),AND(AD318="Muy Alta",AF318="Catastrófico")),"Extremo","")))),"")</f>
        <v>Extremo</v>
      </c>
      <c r="AI318" s="161" t="s">
        <v>117</v>
      </c>
      <c r="AJ318" s="181"/>
      <c r="AK318" s="185"/>
      <c r="AL318" s="187"/>
      <c r="AM318" s="185"/>
      <c r="AN318" s="185"/>
      <c r="AO318" s="190"/>
      <c r="AP318" s="249"/>
    </row>
    <row r="319" spans="1:73" ht="15" customHeight="1" x14ac:dyDescent="0.2">
      <c r="A319" s="214"/>
      <c r="B319" s="241"/>
      <c r="C319" s="241"/>
      <c r="D319" s="291"/>
      <c r="E319" s="181"/>
      <c r="F319" s="181"/>
      <c r="G319" s="181"/>
      <c r="H319" s="181"/>
      <c r="I319" s="242"/>
      <c r="J319" s="217"/>
      <c r="K319" s="183"/>
      <c r="L319" s="185"/>
      <c r="M319" s="205"/>
      <c r="N319" s="206"/>
      <c r="O319" s="203"/>
      <c r="P319" s="239">
        <f>IF(NOT(ISERROR(MATCH(O319,_xlfn.ANCHORARRAY(#REF!),0))),N322&amp;"Por favor no seleccionar los criterios de impacto",O319)</f>
        <v>0</v>
      </c>
      <c r="Q319" s="205"/>
      <c r="R319" s="206"/>
      <c r="S319" s="207"/>
      <c r="T319" s="152">
        <v>5</v>
      </c>
      <c r="U319" s="160"/>
      <c r="V319" s="153" t="str">
        <f t="shared" si="632"/>
        <v/>
      </c>
      <c r="W319" s="154"/>
      <c r="X319" s="154"/>
      <c r="Y319" s="155" t="str">
        <f t="shared" si="627"/>
        <v/>
      </c>
      <c r="Z319" s="154"/>
      <c r="AA319" s="154"/>
      <c r="AB319" s="154"/>
      <c r="AC319" s="156" t="str">
        <f t="shared" si="633"/>
        <v/>
      </c>
      <c r="AD319" s="157" t="str">
        <f t="shared" si="628"/>
        <v/>
      </c>
      <c r="AE319" s="158" t="str">
        <f t="shared" si="629"/>
        <v/>
      </c>
      <c r="AF319" s="157" t="str">
        <f t="shared" si="630"/>
        <v/>
      </c>
      <c r="AG319" s="158" t="str">
        <f t="shared" si="634"/>
        <v/>
      </c>
      <c r="AH319" s="159" t="str">
        <f t="shared" ref="AH319:AH320" si="635">IFERROR(IF(OR(AND(AD319="Muy Baja",AF319="Leve"),AND(AD319="Muy Baja",AF319="Menor"),AND(AD319="Baja",AF319="Leve")),"Bajo",IF(OR(AND(AD319="Muy baja",AF319="Moderado"),AND(AD319="Baja",AF319="Menor"),AND(AD319="Baja",AF319="Moderado"),AND(AD319="Media",AF319="Leve"),AND(AD319="Media",AF319="Menor"),AND(AD319="Media",AF319="Moderado"),AND(AD319="Alta",AF319="Leve"),AND(AD319="Alta",AF319="Menor")),"Moderado",IF(OR(AND(AD319="Muy Baja",AF319="Mayor"),AND(AD319="Baja",AF319="Mayor"),AND(AD319="Media",AF319="Mayor"),AND(AD319="Alta",AF319="Moderado"),AND(AD319="Alta",AF319="Mayor"),AND(AD319="Muy Alta",AF319="Leve"),AND(AD319="Muy Alta",AF319="Menor"),AND(AD319="Muy Alta",AF319="Moderado"),AND(AD319="Muy Alta",AF319="Mayor")),"Alto",IF(OR(AND(AD319="Muy Baja",AF319="Catastrófico"),AND(AD319="Baja",AF319="Catastrófico"),AND(AD319="Media",AF319="Catastrófico"),AND(AD319="Alta",AF319="Catastrófico"),AND(AD319="Muy Alta",AF319="Catastrófico")),"Extremo","")))),"")</f>
        <v/>
      </c>
      <c r="AI319" s="161"/>
      <c r="AJ319" s="181"/>
      <c r="AK319" s="185"/>
      <c r="AL319" s="187"/>
      <c r="AM319" s="185"/>
      <c r="AN319" s="185"/>
      <c r="AO319" s="190"/>
      <c r="AP319" s="249"/>
    </row>
    <row r="320" spans="1:73" ht="15" customHeight="1" thickBot="1" x14ac:dyDescent="0.25">
      <c r="A320" s="214"/>
      <c r="B320" s="241"/>
      <c r="C320" s="241"/>
      <c r="D320" s="291"/>
      <c r="E320" s="181"/>
      <c r="F320" s="181"/>
      <c r="G320" s="181"/>
      <c r="H320" s="181"/>
      <c r="I320" s="242"/>
      <c r="J320" s="217"/>
      <c r="K320" s="183"/>
      <c r="L320" s="185"/>
      <c r="M320" s="205"/>
      <c r="N320" s="206"/>
      <c r="O320" s="203"/>
      <c r="P320" s="239">
        <f>IF(NOT(ISERROR(MATCH(O320,_xlfn.ANCHORARRAY(#REF!),0))),N323&amp;"Por favor no seleccionar los criterios de impacto",O320)</f>
        <v>0</v>
      </c>
      <c r="Q320" s="205"/>
      <c r="R320" s="206"/>
      <c r="S320" s="207"/>
      <c r="T320" s="152">
        <v>6</v>
      </c>
      <c r="U320" s="160"/>
      <c r="V320" s="153" t="str">
        <f t="shared" si="632"/>
        <v/>
      </c>
      <c r="W320" s="154"/>
      <c r="X320" s="154"/>
      <c r="Y320" s="155" t="str">
        <f t="shared" si="627"/>
        <v/>
      </c>
      <c r="Z320" s="154"/>
      <c r="AA320" s="154"/>
      <c r="AB320" s="154"/>
      <c r="AC320" s="156" t="str">
        <f t="shared" si="633"/>
        <v/>
      </c>
      <c r="AD320" s="157" t="str">
        <f t="shared" si="628"/>
        <v/>
      </c>
      <c r="AE320" s="158" t="str">
        <f t="shared" si="629"/>
        <v/>
      </c>
      <c r="AF320" s="157" t="str">
        <f t="shared" si="630"/>
        <v/>
      </c>
      <c r="AG320" s="158" t="str">
        <f t="shared" si="634"/>
        <v/>
      </c>
      <c r="AH320" s="159" t="str">
        <f t="shared" si="635"/>
        <v/>
      </c>
      <c r="AI320" s="161"/>
      <c r="AJ320" s="181"/>
      <c r="AK320" s="185"/>
      <c r="AL320" s="187"/>
      <c r="AM320" s="185"/>
      <c r="AN320" s="185"/>
      <c r="AO320" s="191"/>
      <c r="AP320" s="250"/>
    </row>
    <row r="321" spans="1:73" ht="147.75" customHeight="1" thickTop="1" x14ac:dyDescent="0.2">
      <c r="A321" s="214">
        <v>55</v>
      </c>
      <c r="B321" s="243" t="s">
        <v>248</v>
      </c>
      <c r="C321" s="244" t="s">
        <v>410</v>
      </c>
      <c r="D321" s="184" t="s">
        <v>268</v>
      </c>
      <c r="E321" s="180" t="s">
        <v>812</v>
      </c>
      <c r="F321" s="180" t="s">
        <v>813</v>
      </c>
      <c r="G321" s="180" t="s">
        <v>814</v>
      </c>
      <c r="H321" s="196" t="s">
        <v>815</v>
      </c>
      <c r="I321" s="246" t="s">
        <v>816</v>
      </c>
      <c r="J321" s="218" t="s">
        <v>230</v>
      </c>
      <c r="K321" s="184" t="s">
        <v>227</v>
      </c>
      <c r="L321" s="186">
        <v>6000</v>
      </c>
      <c r="M321" s="205" t="str">
        <f t="shared" ref="M321" si="636">IF(L321&lt;=0,"",IF(L321&lt;=2,"Muy Baja",IF(L321&lt;=24,"Baja",IF(L321&lt;=500,"Media",IF(L321&lt;=5000,"Alta","Muy Alta")))))</f>
        <v>Muy Alta</v>
      </c>
      <c r="N321" s="206">
        <f t="shared" ref="N321" si="637">IF(M321="","",IF(M321="Muy Baja",0.2,IF(M321="Baja",0.4,IF(M321="Media",0.6,IF(M321="Alta",0.8,IF(M321="Muy Alta",1,))))))</f>
        <v>1</v>
      </c>
      <c r="O321" s="211" t="s">
        <v>131</v>
      </c>
      <c r="P321" s="239" t="str">
        <f>IF(NOT(ISERROR(MATCH(O321,'Tabla Impacto'!$B$221:$B$223,0))),'Tabla Impacto'!$F$223&amp;"Por favor no seleccionar los criterios de impacto(Afectación Económica o presupuestal y Pérdida Reputacional)",O321)</f>
        <v xml:space="preserve">     Mayor a 500 SMLMV </v>
      </c>
      <c r="Q321" s="205" t="str">
        <f>IF(OR(P321='Tabla Impacto'!$C$11,P321='Tabla Impacto'!$D$11),"Leve",IF(OR(P321='Tabla Impacto'!$C$12,P321='Tabla Impacto'!$D$12),"Menor",IF(OR(P321='Tabla Impacto'!$C$13,P321='Tabla Impacto'!$D$13),"Moderado",IF(OR(P321='Tabla Impacto'!$C$14,P321='Tabla Impacto'!$D$14),"Mayor",IF(OR(P321='Tabla Impacto'!$C$15,P321='Tabla Impacto'!$D$15),"Catastrófico","")))))</f>
        <v>Catastrófico</v>
      </c>
      <c r="R321" s="206">
        <f t="shared" ref="R321" si="638">IF(Q321="","",IF(Q321="Leve",0.2,IF(Q321="Menor",0.4,IF(Q321="Moderado",0.6,IF(Q321="Mayor",0.8,IF(Q321="Catastrófico",1,))))))</f>
        <v>1</v>
      </c>
      <c r="S321" s="207" t="str">
        <f t="shared" ref="S321" si="639">IF(OR(AND(M321="Muy Baja",Q321="Leve"),AND(M321="Muy Baja",Q321="Menor"),AND(M321="Baja",Q321="Leve")),"Bajo",IF(OR(AND(M321="Muy baja",Q321="Moderado"),AND(M321="Baja",Q321="Menor"),AND(M321="Baja",Q321="Moderado"),AND(M321="Media",Q321="Leve"),AND(M321="Media",Q321="Menor"),AND(M321="Media",Q321="Moderado"),AND(M321="Alta",Q321="Leve"),AND(M321="Alta",Q321="Menor")),"Moderado",IF(OR(AND(M321="Muy Baja",Q321="Mayor"),AND(M321="Baja",Q321="Mayor"),AND(M321="Media",Q321="Mayor"),AND(M321="Alta",Q321="Moderado"),AND(M321="Alta",Q321="Mayor"),AND(M321="Muy Alta",Q321="Leve"),AND(M321="Muy Alta",Q321="Menor"),AND(M321="Muy Alta",Q321="Moderado"),AND(M321="Muy Alta",Q321="Mayor")),"Alto",IF(OR(AND(M321="Muy Baja",Q321="Catastrófico"),AND(M321="Baja",Q321="Catastrófico"),AND(M321="Media",Q321="Catastrófico"),AND(M321="Alta",Q321="Catastrófico"),AND(M321="Muy Alta",Q321="Catastrófico")),"Extremo",""))))</f>
        <v>Extremo</v>
      </c>
      <c r="T321" s="152">
        <v>1</v>
      </c>
      <c r="U321" s="173" t="s">
        <v>817</v>
      </c>
      <c r="V321" s="153" t="str">
        <f>IF(OR(W321="Preventivo",W321="Detectivo"),"Probabilidad",IF(W321="Correctivo","Impacto",""))</f>
        <v>Probabilidad</v>
      </c>
      <c r="W321" s="145" t="s">
        <v>13</v>
      </c>
      <c r="X321" s="145" t="s">
        <v>8</v>
      </c>
      <c r="Y321" s="155" t="str">
        <f>IF(AND(W321="Preventivo",X321="Automático"),"50%",IF(AND(W321="Preventivo",X321="Manual"),"40%",IF(AND(W321="Detectivo",X321="Automático"),"40%",IF(AND(W321="Detectivo",X321="Manual"),"30%",IF(AND(W321="Correctivo",X321="Automático"),"35%",IF(AND(W321="Correctivo",X321="Manual"),"25%",""))))))</f>
        <v>40%</v>
      </c>
      <c r="Z321" s="145" t="s">
        <v>18</v>
      </c>
      <c r="AA321" s="154" t="s">
        <v>21</v>
      </c>
      <c r="AB321" s="145" t="s">
        <v>112</v>
      </c>
      <c r="AC321" s="156">
        <f>IFERROR(IF(V321="Probabilidad",(N321-(+N321*Y321)),IF(V321="Impacto",N321,"")),"")</f>
        <v>0.6</v>
      </c>
      <c r="AD321" s="157" t="str">
        <f>IFERROR(IF(AC321="","",IF(AC321&lt;=0.2,"Muy Baja",IF(AC321&lt;=0.4,"Baja",IF(AC321&lt;=0.6,"Media",IF(AC321&lt;=0.8,"Alta","Muy Alta"))))),"")</f>
        <v>Media</v>
      </c>
      <c r="AE321" s="158">
        <f>+AC321</f>
        <v>0.6</v>
      </c>
      <c r="AF321" s="157" t="str">
        <f>IFERROR(IF(AG321="","",IF(AG321&lt;=0.2,"Leve",IF(AG321&lt;=0.4,"Menor",IF(AG321&lt;=0.6,"Moderado",IF(AG321&lt;=0.8,"Mayor","Catastrófico"))))),"")</f>
        <v>Catastrófico</v>
      </c>
      <c r="AG321" s="158">
        <f>IFERROR(IF(V321="Impacto",(R321-(+R321*Y321)),IF(V321="Probabilidad",R321,"")),"")</f>
        <v>1</v>
      </c>
      <c r="AH321" s="159" t="str">
        <f>IFERROR(IF(OR(AND(AD321="Muy Baja",AF321="Leve"),AND(AD321="Muy Baja",AF321="Menor"),AND(AD321="Baja",AF321="Leve")),"Bajo",IF(OR(AND(AD321="Muy baja",AF321="Moderado"),AND(AD321="Baja",AF321="Menor"),AND(AD321="Baja",AF321="Moderado"),AND(AD321="Media",AF321="Leve"),AND(AD321="Media",AF321="Menor"),AND(AD321="Media",AF321="Moderado"),AND(AD321="Alta",AF321="Leve"),AND(AD321="Alta",AF321="Menor")),"Moderado",IF(OR(AND(AD321="Muy Baja",AF321="Mayor"),AND(AD321="Baja",AF321="Mayor"),AND(AD321="Media",AF321="Mayor"),AND(AD321="Alta",AF321="Moderado"),AND(AD321="Alta",AF321="Mayor"),AND(AD321="Muy Alta",AF321="Leve"),AND(AD321="Muy Alta",AF321="Menor"),AND(AD321="Muy Alta",AF321="Moderado"),AND(AD321="Muy Alta",AF321="Mayor")),"Alto",IF(OR(AND(AD321="Muy Baja",AF321="Catastrófico"),AND(AD321="Baja",AF321="Catastrófico"),AND(AD321="Media",AF321="Catastrófico"),AND(AD321="Alta",AF321="Catastrófico"),AND(AD321="Muy Alta",AF321="Catastrófico")),"Extremo","")))),"")</f>
        <v>Extremo</v>
      </c>
      <c r="AI321" s="151" t="s">
        <v>117</v>
      </c>
      <c r="AJ321" s="180" t="s">
        <v>820</v>
      </c>
      <c r="AK321" s="247" t="s">
        <v>189</v>
      </c>
      <c r="AL321" s="188">
        <v>45293</v>
      </c>
      <c r="AM321" s="194">
        <v>45657</v>
      </c>
      <c r="AN321" s="184" t="s">
        <v>284</v>
      </c>
      <c r="AO321" s="186" t="s">
        <v>821</v>
      </c>
      <c r="AP321" s="180" t="s">
        <v>822</v>
      </c>
      <c r="AQ321" s="10"/>
      <c r="AR321" s="10"/>
      <c r="AS321" s="10"/>
      <c r="AT321" s="10"/>
      <c r="AU321" s="10"/>
      <c r="AV321" s="10"/>
      <c r="AW321" s="10"/>
      <c r="AX321" s="10"/>
      <c r="AY321" s="10"/>
      <c r="AZ321" s="10"/>
      <c r="BA321" s="10"/>
      <c r="BB321" s="10"/>
      <c r="BC321" s="10"/>
      <c r="BD321" s="10"/>
      <c r="BE321" s="10"/>
      <c r="BF321" s="10"/>
      <c r="BG321" s="10"/>
      <c r="BH321" s="10"/>
      <c r="BI321" s="10"/>
      <c r="BJ321" s="10"/>
      <c r="BK321" s="10"/>
      <c r="BL321" s="10"/>
      <c r="BM321" s="10"/>
      <c r="BN321" s="10"/>
      <c r="BO321" s="10"/>
      <c r="BP321" s="10"/>
      <c r="BQ321" s="10"/>
      <c r="BR321" s="10"/>
      <c r="BS321" s="10"/>
      <c r="BT321" s="10"/>
      <c r="BU321" s="10"/>
    </row>
    <row r="322" spans="1:73" ht="174.75" customHeight="1" x14ac:dyDescent="0.2">
      <c r="A322" s="214"/>
      <c r="B322" s="241"/>
      <c r="C322" s="245"/>
      <c r="D322" s="183"/>
      <c r="E322" s="181"/>
      <c r="F322" s="181"/>
      <c r="G322" s="181"/>
      <c r="H322" s="197"/>
      <c r="I322" s="242"/>
      <c r="J322" s="217"/>
      <c r="K322" s="183"/>
      <c r="L322" s="185"/>
      <c r="M322" s="205"/>
      <c r="N322" s="206"/>
      <c r="O322" s="203"/>
      <c r="P322" s="239">
        <f>IF(NOT(ISERROR(MATCH(O322,_xlfn.ANCHORARRAY(#REF!),0))),#REF!&amp;"Por favor no seleccionar los criterios de impacto",O322)</f>
        <v>0</v>
      </c>
      <c r="Q322" s="205"/>
      <c r="R322" s="206"/>
      <c r="S322" s="207"/>
      <c r="T322" s="152">
        <v>2</v>
      </c>
      <c r="U322" s="166" t="s">
        <v>818</v>
      </c>
      <c r="V322" s="153" t="str">
        <f>IF(OR(W322="Preventivo",W322="Detectivo"),"Probabilidad",IF(W322="Correctivo","Impacto",""))</f>
        <v>Probabilidad</v>
      </c>
      <c r="W322" s="154" t="s">
        <v>14</v>
      </c>
      <c r="X322" s="154" t="s">
        <v>8</v>
      </c>
      <c r="Y322" s="155" t="str">
        <f t="shared" ref="Y322:Y326" si="640">IF(AND(W322="Preventivo",X322="Automático"),"50%",IF(AND(W322="Preventivo",X322="Manual"),"40%",IF(AND(W322="Detectivo",X322="Automático"),"40%",IF(AND(W322="Detectivo",X322="Manual"),"30%",IF(AND(W322="Correctivo",X322="Automático"),"35%",IF(AND(W322="Correctivo",X322="Manual"),"25%",""))))))</f>
        <v>30%</v>
      </c>
      <c r="Z322" s="154" t="s">
        <v>18</v>
      </c>
      <c r="AA322" s="154" t="s">
        <v>21</v>
      </c>
      <c r="AB322" s="154" t="s">
        <v>112</v>
      </c>
      <c r="AC322" s="156">
        <f>IFERROR(IF(AND(V321="Probabilidad",V322="Probabilidad"),(AE321-(+AE321*Y322)),IF(V322="Probabilidad",(N321-(+N321*Y322)),IF(V322="Impacto",AE321,""))),"")</f>
        <v>0.42</v>
      </c>
      <c r="AD322" s="157" t="str">
        <f t="shared" ref="AD322:AD326" si="641">IFERROR(IF(AC322="","",IF(AC322&lt;=0.2,"Muy Baja",IF(AC322&lt;=0.4,"Baja",IF(AC322&lt;=0.6,"Media",IF(AC322&lt;=0.8,"Alta","Muy Alta"))))),"")</f>
        <v>Media</v>
      </c>
      <c r="AE322" s="158">
        <f t="shared" ref="AE322:AE326" si="642">+AC322</f>
        <v>0.42</v>
      </c>
      <c r="AF322" s="157" t="str">
        <f t="shared" ref="AF322:AF326" si="643">IFERROR(IF(AG322="","",IF(AG322&lt;=0.2,"Leve",IF(AG322&lt;=0.4,"Menor",IF(AG322&lt;=0.6,"Moderado",IF(AG322&lt;=0.8,"Mayor","Catastrófico"))))),"")</f>
        <v>Catastrófico</v>
      </c>
      <c r="AG322" s="158">
        <f>IFERROR(IF(AND(V321="Impacto",V322="Impacto"),(AG321-(+AG321*Y322)),IF(V322="Impacto",(R321-(+R321*Y322)),IF(V322="Probabilidad",AG321,""))),"")</f>
        <v>1</v>
      </c>
      <c r="AH322" s="159" t="str">
        <f t="shared" ref="AH322:AH323" si="644">IFERROR(IF(OR(AND(AD322="Muy Baja",AF322="Leve"),AND(AD322="Muy Baja",AF322="Menor"),AND(AD322="Baja",AF322="Leve")),"Bajo",IF(OR(AND(AD322="Muy baja",AF322="Moderado"),AND(AD322="Baja",AF322="Menor"),AND(AD322="Baja",AF322="Moderado"),AND(AD322="Media",AF322="Leve"),AND(AD322="Media",AF322="Menor"),AND(AD322="Media",AF322="Moderado"),AND(AD322="Alta",AF322="Leve"),AND(AD322="Alta",AF322="Menor")),"Moderado",IF(OR(AND(AD322="Muy Baja",AF322="Mayor"),AND(AD322="Baja",AF322="Mayor"),AND(AD322="Media",AF322="Mayor"),AND(AD322="Alta",AF322="Moderado"),AND(AD322="Alta",AF322="Mayor"),AND(AD322="Muy Alta",AF322="Leve"),AND(AD322="Muy Alta",AF322="Menor"),AND(AD322="Muy Alta",AF322="Moderado"),AND(AD322="Muy Alta",AF322="Mayor")),"Alto",IF(OR(AND(AD322="Muy Baja",AF322="Catastrófico"),AND(AD322="Baja",AF322="Catastrófico"),AND(AD322="Media",AF322="Catastrófico"),AND(AD322="Alta",AF322="Catastrófico"),AND(AD322="Muy Alta",AF322="Catastrófico")),"Extremo","")))),"")</f>
        <v>Extremo</v>
      </c>
      <c r="AI322" s="161" t="s">
        <v>117</v>
      </c>
      <c r="AJ322" s="181"/>
      <c r="AK322" s="200"/>
      <c r="AL322" s="187"/>
      <c r="AM322" s="195"/>
      <c r="AN322" s="183"/>
      <c r="AO322" s="185"/>
      <c r="AP322" s="181"/>
    </row>
    <row r="323" spans="1:73" ht="115.5" customHeight="1" x14ac:dyDescent="0.2">
      <c r="A323" s="214"/>
      <c r="B323" s="241"/>
      <c r="C323" s="245"/>
      <c r="D323" s="183"/>
      <c r="E323" s="181"/>
      <c r="F323" s="181"/>
      <c r="G323" s="181"/>
      <c r="H323" s="197"/>
      <c r="I323" s="242"/>
      <c r="J323" s="217"/>
      <c r="K323" s="183"/>
      <c r="L323" s="185"/>
      <c r="M323" s="205"/>
      <c r="N323" s="206"/>
      <c r="O323" s="203"/>
      <c r="P323" s="239">
        <f>IF(NOT(ISERROR(MATCH(O323,_xlfn.ANCHORARRAY(#REF!),0))),#REF!&amp;"Por favor no seleccionar los criterios de impacto",O323)</f>
        <v>0</v>
      </c>
      <c r="Q323" s="205"/>
      <c r="R323" s="206"/>
      <c r="S323" s="207"/>
      <c r="T323" s="152">
        <v>3</v>
      </c>
      <c r="U323" s="166" t="s">
        <v>819</v>
      </c>
      <c r="V323" s="153" t="str">
        <f>IF(OR(W323="Preventivo",W323="Detectivo"),"Probabilidad",IF(W323="Correctivo","Impacto",""))</f>
        <v>Impacto</v>
      </c>
      <c r="W323" s="154" t="s">
        <v>15</v>
      </c>
      <c r="X323" s="154" t="s">
        <v>8</v>
      </c>
      <c r="Y323" s="155" t="str">
        <f t="shared" si="640"/>
        <v>25%</v>
      </c>
      <c r="Z323" s="154" t="s">
        <v>18</v>
      </c>
      <c r="AA323" s="154" t="s">
        <v>21</v>
      </c>
      <c r="AB323" s="154" t="s">
        <v>112</v>
      </c>
      <c r="AC323" s="156">
        <f>IFERROR(IF(AND(V322="Probabilidad",V323="Probabilidad"),(AE322-(+AE322*Y323)),IF(AND(V322="Impacto",V323="Probabilidad"),(AE321-(+AE321*Y323)),IF(V323="Impacto",AE322,""))),"")</f>
        <v>0.42</v>
      </c>
      <c r="AD323" s="157" t="str">
        <f t="shared" si="641"/>
        <v>Media</v>
      </c>
      <c r="AE323" s="158">
        <f t="shared" si="642"/>
        <v>0.42</v>
      </c>
      <c r="AF323" s="157" t="str">
        <f t="shared" si="643"/>
        <v>Mayor</v>
      </c>
      <c r="AG323" s="158">
        <f>IFERROR(IF(AND(V322="Impacto",V323="Impacto"),(AG322-(+AG322*Y323)),IF(AND(V322="Probabilidad",V323="Impacto"),(AG321-(+AG321*Y323)),IF(V323="Probabilidad",AG322,""))),"")</f>
        <v>0.75</v>
      </c>
      <c r="AH323" s="159" t="str">
        <f t="shared" si="644"/>
        <v>Alto</v>
      </c>
      <c r="AI323" s="161" t="s">
        <v>117</v>
      </c>
      <c r="AJ323" s="181"/>
      <c r="AK323" s="200"/>
      <c r="AL323" s="187"/>
      <c r="AM323" s="195"/>
      <c r="AN323" s="183"/>
      <c r="AO323" s="185"/>
      <c r="AP323" s="181"/>
    </row>
    <row r="324" spans="1:73" ht="15" customHeight="1" x14ac:dyDescent="0.2">
      <c r="A324" s="214"/>
      <c r="B324" s="241"/>
      <c r="C324" s="245"/>
      <c r="D324" s="183"/>
      <c r="E324" s="181"/>
      <c r="F324" s="181"/>
      <c r="G324" s="181"/>
      <c r="H324" s="197"/>
      <c r="I324" s="242"/>
      <c r="J324" s="217"/>
      <c r="K324" s="183"/>
      <c r="L324" s="185"/>
      <c r="M324" s="205"/>
      <c r="N324" s="206"/>
      <c r="O324" s="203"/>
      <c r="P324" s="239">
        <f>IF(NOT(ISERROR(MATCH(O324,_xlfn.ANCHORARRAY(#REF!),0))),#REF!&amp;"Por favor no seleccionar los criterios de impacto",O324)</f>
        <v>0</v>
      </c>
      <c r="Q324" s="205"/>
      <c r="R324" s="206"/>
      <c r="S324" s="207"/>
      <c r="T324" s="152">
        <v>4</v>
      </c>
      <c r="U324" s="160"/>
      <c r="V324" s="153" t="str">
        <f t="shared" ref="V324:V326" si="645">IF(OR(W324="Preventivo",W324="Detectivo"),"Probabilidad",IF(W324="Correctivo","Impacto",""))</f>
        <v/>
      </c>
      <c r="W324" s="154"/>
      <c r="X324" s="154"/>
      <c r="Y324" s="155" t="str">
        <f t="shared" si="640"/>
        <v/>
      </c>
      <c r="Z324" s="154"/>
      <c r="AA324" s="154"/>
      <c r="AB324" s="154"/>
      <c r="AC324" s="156" t="str">
        <f t="shared" ref="AC324:AC326" si="646">IFERROR(IF(AND(V323="Probabilidad",V324="Probabilidad"),(AE323-(+AE323*Y324)),IF(AND(V323="Impacto",V324="Probabilidad"),(AE322-(+AE322*Y324)),IF(V324="Impacto",AE323,""))),"")</f>
        <v/>
      </c>
      <c r="AD324" s="157" t="str">
        <f t="shared" si="641"/>
        <v/>
      </c>
      <c r="AE324" s="158" t="str">
        <f t="shared" si="642"/>
        <v/>
      </c>
      <c r="AF324" s="157" t="str">
        <f t="shared" si="643"/>
        <v/>
      </c>
      <c r="AG324" s="158" t="str">
        <f t="shared" ref="AG324:AG326" si="647">IFERROR(IF(AND(V323="Impacto",V324="Impacto"),(AG323-(+AG323*Y324)),IF(AND(V323="Probabilidad",V324="Impacto"),(AG322-(+AG322*Y324)),IF(V324="Probabilidad",AG323,""))),"")</f>
        <v/>
      </c>
      <c r="AH324" s="159" t="str">
        <f>IFERROR(IF(OR(AND(AD324="Muy Baja",AF324="Leve"),AND(AD324="Muy Baja",AF324="Menor"),AND(AD324="Baja",AF324="Leve")),"Bajo",IF(OR(AND(AD324="Muy baja",AF324="Moderado"),AND(AD324="Baja",AF324="Menor"),AND(AD324="Baja",AF324="Moderado"),AND(AD324="Media",AF324="Leve"),AND(AD324="Media",AF324="Menor"),AND(AD324="Media",AF324="Moderado"),AND(AD324="Alta",AF324="Leve"),AND(AD324="Alta",AF324="Menor")),"Moderado",IF(OR(AND(AD324="Muy Baja",AF324="Mayor"),AND(AD324="Baja",AF324="Mayor"),AND(AD324="Media",AF324="Mayor"),AND(AD324="Alta",AF324="Moderado"),AND(AD324="Alta",AF324="Mayor"),AND(AD324="Muy Alta",AF324="Leve"),AND(AD324="Muy Alta",AF324="Menor"),AND(AD324="Muy Alta",AF324="Moderado"),AND(AD324="Muy Alta",AF324="Mayor")),"Alto",IF(OR(AND(AD324="Muy Baja",AF324="Catastrófico"),AND(AD324="Baja",AF324="Catastrófico"),AND(AD324="Media",AF324="Catastrófico"),AND(AD324="Alta",AF324="Catastrófico"),AND(AD324="Muy Alta",AF324="Catastrófico")),"Extremo","")))),"")</f>
        <v/>
      </c>
      <c r="AI324" s="161"/>
      <c r="AJ324" s="181"/>
      <c r="AK324" s="200"/>
      <c r="AL324" s="187"/>
      <c r="AM324" s="195"/>
      <c r="AN324" s="183"/>
      <c r="AO324" s="185"/>
      <c r="AP324" s="181"/>
    </row>
    <row r="325" spans="1:73" ht="15" customHeight="1" x14ac:dyDescent="0.2">
      <c r="A325" s="214"/>
      <c r="B325" s="241"/>
      <c r="C325" s="245"/>
      <c r="D325" s="183"/>
      <c r="E325" s="181"/>
      <c r="F325" s="181"/>
      <c r="G325" s="181"/>
      <c r="H325" s="197"/>
      <c r="I325" s="242"/>
      <c r="J325" s="217"/>
      <c r="K325" s="183"/>
      <c r="L325" s="185"/>
      <c r="M325" s="205"/>
      <c r="N325" s="206"/>
      <c r="O325" s="203"/>
      <c r="P325" s="239">
        <f>IF(NOT(ISERROR(MATCH(O325,_xlfn.ANCHORARRAY(#REF!),0))),N328&amp;"Por favor no seleccionar los criterios de impacto",O325)</f>
        <v>0</v>
      </c>
      <c r="Q325" s="205"/>
      <c r="R325" s="206"/>
      <c r="S325" s="207"/>
      <c r="T325" s="152">
        <v>5</v>
      </c>
      <c r="U325" s="160"/>
      <c r="V325" s="153" t="str">
        <f t="shared" si="645"/>
        <v/>
      </c>
      <c r="W325" s="154"/>
      <c r="X325" s="154"/>
      <c r="Y325" s="155" t="str">
        <f t="shared" si="640"/>
        <v/>
      </c>
      <c r="Z325" s="154"/>
      <c r="AA325" s="154"/>
      <c r="AB325" s="154"/>
      <c r="AC325" s="156" t="str">
        <f t="shared" si="646"/>
        <v/>
      </c>
      <c r="AD325" s="157" t="str">
        <f t="shared" si="641"/>
        <v/>
      </c>
      <c r="AE325" s="158" t="str">
        <f t="shared" si="642"/>
        <v/>
      </c>
      <c r="AF325" s="157" t="str">
        <f t="shared" si="643"/>
        <v/>
      </c>
      <c r="AG325" s="158" t="str">
        <f t="shared" si="647"/>
        <v/>
      </c>
      <c r="AH325" s="159" t="str">
        <f t="shared" ref="AH325:AH326" si="648">IFERROR(IF(OR(AND(AD325="Muy Baja",AF325="Leve"),AND(AD325="Muy Baja",AF325="Menor"),AND(AD325="Baja",AF325="Leve")),"Bajo",IF(OR(AND(AD325="Muy baja",AF325="Moderado"),AND(AD325="Baja",AF325="Menor"),AND(AD325="Baja",AF325="Moderado"),AND(AD325="Media",AF325="Leve"),AND(AD325="Media",AF325="Menor"),AND(AD325="Media",AF325="Moderado"),AND(AD325="Alta",AF325="Leve"),AND(AD325="Alta",AF325="Menor")),"Moderado",IF(OR(AND(AD325="Muy Baja",AF325="Mayor"),AND(AD325="Baja",AF325="Mayor"),AND(AD325="Media",AF325="Mayor"),AND(AD325="Alta",AF325="Moderado"),AND(AD325="Alta",AF325="Mayor"),AND(AD325="Muy Alta",AF325="Leve"),AND(AD325="Muy Alta",AF325="Menor"),AND(AD325="Muy Alta",AF325="Moderado"),AND(AD325="Muy Alta",AF325="Mayor")),"Alto",IF(OR(AND(AD325="Muy Baja",AF325="Catastrófico"),AND(AD325="Baja",AF325="Catastrófico"),AND(AD325="Media",AF325="Catastrófico"),AND(AD325="Alta",AF325="Catastrófico"),AND(AD325="Muy Alta",AF325="Catastrófico")),"Extremo","")))),"")</f>
        <v/>
      </c>
      <c r="AI325" s="161"/>
      <c r="AJ325" s="181"/>
      <c r="AK325" s="200"/>
      <c r="AL325" s="187"/>
      <c r="AM325" s="195"/>
      <c r="AN325" s="183"/>
      <c r="AO325" s="185"/>
      <c r="AP325" s="181"/>
    </row>
    <row r="326" spans="1:73" ht="15" customHeight="1" x14ac:dyDescent="0.2">
      <c r="A326" s="214"/>
      <c r="B326" s="241"/>
      <c r="C326" s="245"/>
      <c r="D326" s="183"/>
      <c r="E326" s="181"/>
      <c r="F326" s="181"/>
      <c r="G326" s="181"/>
      <c r="H326" s="197"/>
      <c r="I326" s="242"/>
      <c r="J326" s="217"/>
      <c r="K326" s="183"/>
      <c r="L326" s="185"/>
      <c r="M326" s="205"/>
      <c r="N326" s="206"/>
      <c r="O326" s="203"/>
      <c r="P326" s="239">
        <f>IF(NOT(ISERROR(MATCH(O326,_xlfn.ANCHORARRAY(#REF!),0))),N329&amp;"Por favor no seleccionar los criterios de impacto",O326)</f>
        <v>0</v>
      </c>
      <c r="Q326" s="205"/>
      <c r="R326" s="206"/>
      <c r="S326" s="207"/>
      <c r="T326" s="152">
        <v>6</v>
      </c>
      <c r="U326" s="160"/>
      <c r="V326" s="153" t="str">
        <f t="shared" si="645"/>
        <v/>
      </c>
      <c r="W326" s="154"/>
      <c r="X326" s="154"/>
      <c r="Y326" s="155" t="str">
        <f t="shared" si="640"/>
        <v/>
      </c>
      <c r="Z326" s="154"/>
      <c r="AA326" s="154"/>
      <c r="AB326" s="154"/>
      <c r="AC326" s="156" t="str">
        <f t="shared" si="646"/>
        <v/>
      </c>
      <c r="AD326" s="157" t="str">
        <f t="shared" si="641"/>
        <v/>
      </c>
      <c r="AE326" s="158" t="str">
        <f t="shared" si="642"/>
        <v/>
      </c>
      <c r="AF326" s="157" t="str">
        <f t="shared" si="643"/>
        <v/>
      </c>
      <c r="AG326" s="158" t="str">
        <f t="shared" si="647"/>
        <v/>
      </c>
      <c r="AH326" s="159" t="str">
        <f t="shared" si="648"/>
        <v/>
      </c>
      <c r="AI326" s="161"/>
      <c r="AJ326" s="181"/>
      <c r="AK326" s="186"/>
      <c r="AL326" s="187"/>
      <c r="AM326" s="195"/>
      <c r="AN326" s="183"/>
      <c r="AO326" s="185"/>
      <c r="AP326" s="181"/>
    </row>
  </sheetData>
  <dataConsolidate/>
  <mergeCells count="1479">
    <mergeCell ref="AP321:AP326"/>
    <mergeCell ref="I71:I75"/>
    <mergeCell ref="I76:I81"/>
    <mergeCell ref="Q321:Q326"/>
    <mergeCell ref="R321:R326"/>
    <mergeCell ref="S321:S326"/>
    <mergeCell ref="AJ321:AJ326"/>
    <mergeCell ref="AK321:AK326"/>
    <mergeCell ref="AL321:AL326"/>
    <mergeCell ref="AM321:AM326"/>
    <mergeCell ref="AN321:AN326"/>
    <mergeCell ref="AO321:AO326"/>
    <mergeCell ref="S315:S320"/>
    <mergeCell ref="AJ315:AJ320"/>
    <mergeCell ref="AK315:AK320"/>
    <mergeCell ref="AL315:AL320"/>
    <mergeCell ref="AM315:AM320"/>
    <mergeCell ref="AN315:AN320"/>
    <mergeCell ref="AO315:AO320"/>
    <mergeCell ref="AP315:AP320"/>
    <mergeCell ref="Q315:Q320"/>
    <mergeCell ref="R315:R320"/>
    <mergeCell ref="R309:R314"/>
    <mergeCell ref="S309:S314"/>
    <mergeCell ref="AJ309:AJ314"/>
    <mergeCell ref="AK309:AK314"/>
    <mergeCell ref="AL309:AL314"/>
    <mergeCell ref="AM309:AM314"/>
    <mergeCell ref="AN309:AN314"/>
    <mergeCell ref="AO309:AO314"/>
    <mergeCell ref="AP309:AP314"/>
    <mergeCell ref="AJ303:AJ308"/>
    <mergeCell ref="A321:A326"/>
    <mergeCell ref="B321:B326"/>
    <mergeCell ref="C321:C326"/>
    <mergeCell ref="D321:D326"/>
    <mergeCell ref="E321:E326"/>
    <mergeCell ref="F321:F326"/>
    <mergeCell ref="G321:G326"/>
    <mergeCell ref="H321:H326"/>
    <mergeCell ref="I321:I326"/>
    <mergeCell ref="J321:J326"/>
    <mergeCell ref="K321:K326"/>
    <mergeCell ref="L321:L326"/>
    <mergeCell ref="M321:M326"/>
    <mergeCell ref="N321:N326"/>
    <mergeCell ref="O321:O326"/>
    <mergeCell ref="P321:P326"/>
    <mergeCell ref="J315:J320"/>
    <mergeCell ref="K315:K320"/>
    <mergeCell ref="L315:L320"/>
    <mergeCell ref="M315:M320"/>
    <mergeCell ref="N315:N320"/>
    <mergeCell ref="O315:O320"/>
    <mergeCell ref="P315:P320"/>
    <mergeCell ref="A315:A320"/>
    <mergeCell ref="B315:B320"/>
    <mergeCell ref="C315:C320"/>
    <mergeCell ref="D315:D320"/>
    <mergeCell ref="E315:E320"/>
    <mergeCell ref="F315:F320"/>
    <mergeCell ref="G315:G320"/>
    <mergeCell ref="H315:H320"/>
    <mergeCell ref="I315:I320"/>
    <mergeCell ref="R303:R308"/>
    <mergeCell ref="S303:S308"/>
    <mergeCell ref="AK303:AK308"/>
    <mergeCell ref="AL303:AL308"/>
    <mergeCell ref="AM303:AM308"/>
    <mergeCell ref="AN303:AN308"/>
    <mergeCell ref="AO303:AO308"/>
    <mergeCell ref="AP303:AP308"/>
    <mergeCell ref="A309:A314"/>
    <mergeCell ref="B309:B314"/>
    <mergeCell ref="C309:C314"/>
    <mergeCell ref="D309:D314"/>
    <mergeCell ref="E309:E314"/>
    <mergeCell ref="F309:F314"/>
    <mergeCell ref="G309:G314"/>
    <mergeCell ref="H309:H314"/>
    <mergeCell ref="I309:I314"/>
    <mergeCell ref="J309:J314"/>
    <mergeCell ref="K309:K314"/>
    <mergeCell ref="L309:L314"/>
    <mergeCell ref="M309:M314"/>
    <mergeCell ref="N309:N314"/>
    <mergeCell ref="O309:O314"/>
    <mergeCell ref="P309:P314"/>
    <mergeCell ref="Q309:Q314"/>
    <mergeCell ref="A303:A308"/>
    <mergeCell ref="B303:B308"/>
    <mergeCell ref="C303:C308"/>
    <mergeCell ref="D303:D308"/>
    <mergeCell ref="E303:E308"/>
    <mergeCell ref="F303:F308"/>
    <mergeCell ref="G303:G308"/>
    <mergeCell ref="H303:H308"/>
    <mergeCell ref="I303:I308"/>
    <mergeCell ref="J303:J308"/>
    <mergeCell ref="K303:K308"/>
    <mergeCell ref="L303:L308"/>
    <mergeCell ref="M303:M308"/>
    <mergeCell ref="N303:N308"/>
    <mergeCell ref="O303:O308"/>
    <mergeCell ref="P303:P308"/>
    <mergeCell ref="Q303:Q308"/>
    <mergeCell ref="AN291:AN296"/>
    <mergeCell ref="AO291:AO296"/>
    <mergeCell ref="AP291:AP296"/>
    <mergeCell ref="A297:A302"/>
    <mergeCell ref="B297:B302"/>
    <mergeCell ref="C297:C302"/>
    <mergeCell ref="D297:D302"/>
    <mergeCell ref="E297:E302"/>
    <mergeCell ref="F297:F302"/>
    <mergeCell ref="G297:G302"/>
    <mergeCell ref="H297:H302"/>
    <mergeCell ref="I297:I302"/>
    <mergeCell ref="J297:J302"/>
    <mergeCell ref="K297:K302"/>
    <mergeCell ref="L297:L302"/>
    <mergeCell ref="M297:M302"/>
    <mergeCell ref="N297:N302"/>
    <mergeCell ref="O297:O302"/>
    <mergeCell ref="P297:P302"/>
    <mergeCell ref="Q297:Q302"/>
    <mergeCell ref="R297:R302"/>
    <mergeCell ref="S297:S302"/>
    <mergeCell ref="AJ297:AJ302"/>
    <mergeCell ref="AK297:AK302"/>
    <mergeCell ref="AL297:AL302"/>
    <mergeCell ref="AM297:AM302"/>
    <mergeCell ref="AN297:AN302"/>
    <mergeCell ref="AO297:AO302"/>
    <mergeCell ref="AP297:AP302"/>
    <mergeCell ref="AP285:AP290"/>
    <mergeCell ref="A291:A296"/>
    <mergeCell ref="B291:B296"/>
    <mergeCell ref="C291:C296"/>
    <mergeCell ref="D291:D296"/>
    <mergeCell ref="E291:E296"/>
    <mergeCell ref="F291:F296"/>
    <mergeCell ref="G291:G296"/>
    <mergeCell ref="H291:H296"/>
    <mergeCell ref="I291:I296"/>
    <mergeCell ref="J291:J296"/>
    <mergeCell ref="K291:K296"/>
    <mergeCell ref="L291:L296"/>
    <mergeCell ref="M291:M296"/>
    <mergeCell ref="N291:N296"/>
    <mergeCell ref="O291:O296"/>
    <mergeCell ref="P291:P296"/>
    <mergeCell ref="Q291:Q296"/>
    <mergeCell ref="R291:R296"/>
    <mergeCell ref="S291:S296"/>
    <mergeCell ref="AJ291:AJ296"/>
    <mergeCell ref="AK291:AK296"/>
    <mergeCell ref="AL291:AL296"/>
    <mergeCell ref="AM291:AM296"/>
    <mergeCell ref="Q285:Q290"/>
    <mergeCell ref="R285:R290"/>
    <mergeCell ref="S285:S290"/>
    <mergeCell ref="AJ285:AJ290"/>
    <mergeCell ref="AK285:AK290"/>
    <mergeCell ref="AL285:AL290"/>
    <mergeCell ref="AM285:AM290"/>
    <mergeCell ref="AN285:AN290"/>
    <mergeCell ref="AO285:AO290"/>
    <mergeCell ref="S279:S284"/>
    <mergeCell ref="AJ279:AJ284"/>
    <mergeCell ref="AK279:AK284"/>
    <mergeCell ref="AL279:AL284"/>
    <mergeCell ref="AM279:AM284"/>
    <mergeCell ref="AN279:AN284"/>
    <mergeCell ref="AO279:AO284"/>
    <mergeCell ref="AP279:AP284"/>
    <mergeCell ref="A285:A290"/>
    <mergeCell ref="B285:B290"/>
    <mergeCell ref="C285:C290"/>
    <mergeCell ref="D285:D290"/>
    <mergeCell ref="E285:E290"/>
    <mergeCell ref="F285:F290"/>
    <mergeCell ref="G285:G290"/>
    <mergeCell ref="H285:H290"/>
    <mergeCell ref="I285:I290"/>
    <mergeCell ref="J285:J290"/>
    <mergeCell ref="K285:K290"/>
    <mergeCell ref="L285:L290"/>
    <mergeCell ref="M285:M290"/>
    <mergeCell ref="N285:N290"/>
    <mergeCell ref="O285:O290"/>
    <mergeCell ref="P285:P290"/>
    <mergeCell ref="J279:J284"/>
    <mergeCell ref="K279:K284"/>
    <mergeCell ref="L279:L284"/>
    <mergeCell ref="M279:M284"/>
    <mergeCell ref="N279:N284"/>
    <mergeCell ref="O279:O284"/>
    <mergeCell ref="P279:P284"/>
    <mergeCell ref="Q279:Q284"/>
    <mergeCell ref="R279:R284"/>
    <mergeCell ref="A279:A284"/>
    <mergeCell ref="B279:B284"/>
    <mergeCell ref="C279:C284"/>
    <mergeCell ref="D279:D284"/>
    <mergeCell ref="E279:E284"/>
    <mergeCell ref="F279:F284"/>
    <mergeCell ref="G279:G284"/>
    <mergeCell ref="H279:H284"/>
    <mergeCell ref="I279:I284"/>
    <mergeCell ref="R273:R278"/>
    <mergeCell ref="S273:S278"/>
    <mergeCell ref="AJ273:AJ278"/>
    <mergeCell ref="AK273:AK278"/>
    <mergeCell ref="AL273:AL278"/>
    <mergeCell ref="AM273:AM278"/>
    <mergeCell ref="R267:R272"/>
    <mergeCell ref="S267:S272"/>
    <mergeCell ref="AN273:AN278"/>
    <mergeCell ref="AO273:AO278"/>
    <mergeCell ref="AP273:AP278"/>
    <mergeCell ref="AJ267:AJ272"/>
    <mergeCell ref="AK267:AK272"/>
    <mergeCell ref="AL267:AL272"/>
    <mergeCell ref="AM267:AM272"/>
    <mergeCell ref="AN267:AN272"/>
    <mergeCell ref="AO267:AO272"/>
    <mergeCell ref="AP267:AP272"/>
    <mergeCell ref="A273:A278"/>
    <mergeCell ref="B273:B278"/>
    <mergeCell ref="C273:C278"/>
    <mergeCell ref="D273:D278"/>
    <mergeCell ref="E273:E278"/>
    <mergeCell ref="F273:F278"/>
    <mergeCell ref="G273:G278"/>
    <mergeCell ref="H273:H278"/>
    <mergeCell ref="I273:I278"/>
    <mergeCell ref="J273:J278"/>
    <mergeCell ref="K273:K278"/>
    <mergeCell ref="L273:L278"/>
    <mergeCell ref="M273:M278"/>
    <mergeCell ref="N273:N278"/>
    <mergeCell ref="O273:O278"/>
    <mergeCell ref="P273:P278"/>
    <mergeCell ref="Q273:Q278"/>
    <mergeCell ref="A267:A272"/>
    <mergeCell ref="B267:B272"/>
    <mergeCell ref="C267:C272"/>
    <mergeCell ref="D267:D272"/>
    <mergeCell ref="E267:E272"/>
    <mergeCell ref="F267:F272"/>
    <mergeCell ref="G267:G272"/>
    <mergeCell ref="H267:H272"/>
    <mergeCell ref="I267:I272"/>
    <mergeCell ref="J267:J272"/>
    <mergeCell ref="K267:K272"/>
    <mergeCell ref="L267:L272"/>
    <mergeCell ref="M267:M272"/>
    <mergeCell ref="N267:N272"/>
    <mergeCell ref="O267:O272"/>
    <mergeCell ref="P267:P272"/>
    <mergeCell ref="Q267:Q272"/>
    <mergeCell ref="AN255:AN260"/>
    <mergeCell ref="AO255:AO260"/>
    <mergeCell ref="AP255:AP260"/>
    <mergeCell ref="A261:A266"/>
    <mergeCell ref="B261:B266"/>
    <mergeCell ref="C261:C266"/>
    <mergeCell ref="D261:D266"/>
    <mergeCell ref="E261:E266"/>
    <mergeCell ref="F261:F266"/>
    <mergeCell ref="G261:G266"/>
    <mergeCell ref="H261:H266"/>
    <mergeCell ref="I261:I266"/>
    <mergeCell ref="J261:J266"/>
    <mergeCell ref="K261:K266"/>
    <mergeCell ref="L261:L266"/>
    <mergeCell ref="M261:M266"/>
    <mergeCell ref="N261:N266"/>
    <mergeCell ref="O261:O266"/>
    <mergeCell ref="P261:P266"/>
    <mergeCell ref="Q261:Q266"/>
    <mergeCell ref="R261:R266"/>
    <mergeCell ref="S261:S266"/>
    <mergeCell ref="AJ261:AJ266"/>
    <mergeCell ref="AK261:AK266"/>
    <mergeCell ref="AL261:AL266"/>
    <mergeCell ref="AM261:AM266"/>
    <mergeCell ref="AN261:AN266"/>
    <mergeCell ref="AO261:AO266"/>
    <mergeCell ref="AP261:AP266"/>
    <mergeCell ref="AP249:AP254"/>
    <mergeCell ref="A255:A260"/>
    <mergeCell ref="B255:B260"/>
    <mergeCell ref="C255:C260"/>
    <mergeCell ref="D255:D260"/>
    <mergeCell ref="E255:E260"/>
    <mergeCell ref="F255:F260"/>
    <mergeCell ref="G255:G260"/>
    <mergeCell ref="H255:H260"/>
    <mergeCell ref="I255:I260"/>
    <mergeCell ref="J255:J260"/>
    <mergeCell ref="K255:K260"/>
    <mergeCell ref="L255:L260"/>
    <mergeCell ref="M255:M260"/>
    <mergeCell ref="N255:N260"/>
    <mergeCell ref="O255:O260"/>
    <mergeCell ref="P255:P260"/>
    <mergeCell ref="Q255:Q260"/>
    <mergeCell ref="R255:R260"/>
    <mergeCell ref="S255:S260"/>
    <mergeCell ref="AJ255:AJ260"/>
    <mergeCell ref="AK255:AK260"/>
    <mergeCell ref="AL255:AL260"/>
    <mergeCell ref="AM255:AM260"/>
    <mergeCell ref="Q249:Q254"/>
    <mergeCell ref="R249:R254"/>
    <mergeCell ref="S249:S254"/>
    <mergeCell ref="AJ249:AJ254"/>
    <mergeCell ref="AK249:AK254"/>
    <mergeCell ref="AL249:AL254"/>
    <mergeCell ref="AM249:AM254"/>
    <mergeCell ref="AN249:AN254"/>
    <mergeCell ref="AO249:AO254"/>
    <mergeCell ref="S243:S248"/>
    <mergeCell ref="AJ243:AJ248"/>
    <mergeCell ref="AK243:AK248"/>
    <mergeCell ref="AL243:AL248"/>
    <mergeCell ref="AM243:AM248"/>
    <mergeCell ref="AN243:AN248"/>
    <mergeCell ref="AO243:AO248"/>
    <mergeCell ref="AP243:AP248"/>
    <mergeCell ref="A249:A254"/>
    <mergeCell ref="B249:B254"/>
    <mergeCell ref="C249:C254"/>
    <mergeCell ref="D249:D254"/>
    <mergeCell ref="E249:E254"/>
    <mergeCell ref="F249:F254"/>
    <mergeCell ref="G249:G254"/>
    <mergeCell ref="H249:H254"/>
    <mergeCell ref="I249:I254"/>
    <mergeCell ref="J249:J254"/>
    <mergeCell ref="K249:K254"/>
    <mergeCell ref="L249:L254"/>
    <mergeCell ref="M249:M254"/>
    <mergeCell ref="N249:N254"/>
    <mergeCell ref="O249:O254"/>
    <mergeCell ref="P249:P254"/>
    <mergeCell ref="J243:J248"/>
    <mergeCell ref="K243:K248"/>
    <mergeCell ref="L243:L248"/>
    <mergeCell ref="M243:M248"/>
    <mergeCell ref="N243:N248"/>
    <mergeCell ref="O243:O248"/>
    <mergeCell ref="P243:P248"/>
    <mergeCell ref="Q243:Q248"/>
    <mergeCell ref="R243:R248"/>
    <mergeCell ref="A243:A248"/>
    <mergeCell ref="B243:B248"/>
    <mergeCell ref="C243:C248"/>
    <mergeCell ref="D243:D248"/>
    <mergeCell ref="E243:E248"/>
    <mergeCell ref="F243:F248"/>
    <mergeCell ref="G243:G248"/>
    <mergeCell ref="H243:H248"/>
    <mergeCell ref="I243:I248"/>
    <mergeCell ref="R237:R242"/>
    <mergeCell ref="S237:S242"/>
    <mergeCell ref="AJ237:AJ242"/>
    <mergeCell ref="AK237:AK242"/>
    <mergeCell ref="AL237:AL242"/>
    <mergeCell ref="AM237:AM242"/>
    <mergeCell ref="AN237:AN242"/>
    <mergeCell ref="AO237:AO242"/>
    <mergeCell ref="AP237:AP242"/>
    <mergeCell ref="AJ231:AJ236"/>
    <mergeCell ref="AK231:AK236"/>
    <mergeCell ref="AL231:AL236"/>
    <mergeCell ref="AM231:AM236"/>
    <mergeCell ref="AN231:AN236"/>
    <mergeCell ref="AO231:AO236"/>
    <mergeCell ref="AP231:AP236"/>
    <mergeCell ref="A237:A242"/>
    <mergeCell ref="B237:B242"/>
    <mergeCell ref="C237:C242"/>
    <mergeCell ref="D237:D242"/>
    <mergeCell ref="E237:E242"/>
    <mergeCell ref="F237:F242"/>
    <mergeCell ref="G237:G242"/>
    <mergeCell ref="H237:H242"/>
    <mergeCell ref="I237:I242"/>
    <mergeCell ref="J237:J242"/>
    <mergeCell ref="K237:K242"/>
    <mergeCell ref="L237:L242"/>
    <mergeCell ref="M237:M242"/>
    <mergeCell ref="N237:N242"/>
    <mergeCell ref="O237:O242"/>
    <mergeCell ref="P237:P242"/>
    <mergeCell ref="Q237:Q242"/>
    <mergeCell ref="A231:A236"/>
    <mergeCell ref="B231:B236"/>
    <mergeCell ref="C231:C236"/>
    <mergeCell ref="D231:D236"/>
    <mergeCell ref="E231:E236"/>
    <mergeCell ref="F231:F236"/>
    <mergeCell ref="G231:G236"/>
    <mergeCell ref="H231:H236"/>
    <mergeCell ref="I231:I236"/>
    <mergeCell ref="J231:J236"/>
    <mergeCell ref="K231:K236"/>
    <mergeCell ref="L231:L236"/>
    <mergeCell ref="M231:M236"/>
    <mergeCell ref="N231:N236"/>
    <mergeCell ref="O231:O236"/>
    <mergeCell ref="P231:P236"/>
    <mergeCell ref="Q231:Q236"/>
    <mergeCell ref="AN219:AN224"/>
    <mergeCell ref="AO219:AO224"/>
    <mergeCell ref="AP219:AP224"/>
    <mergeCell ref="R225:R230"/>
    <mergeCell ref="S225:S230"/>
    <mergeCell ref="AJ225:AJ230"/>
    <mergeCell ref="AK225:AK230"/>
    <mergeCell ref="AL225:AL230"/>
    <mergeCell ref="AM225:AM230"/>
    <mergeCell ref="AN225:AN230"/>
    <mergeCell ref="AO225:AO230"/>
    <mergeCell ref="AP225:AP230"/>
    <mergeCell ref="R231:R236"/>
    <mergeCell ref="S231:S236"/>
    <mergeCell ref="A225:A230"/>
    <mergeCell ref="B225:B230"/>
    <mergeCell ref="C225:C230"/>
    <mergeCell ref="D225:D230"/>
    <mergeCell ref="E225:E230"/>
    <mergeCell ref="F225:F230"/>
    <mergeCell ref="G225:G230"/>
    <mergeCell ref="H225:H230"/>
    <mergeCell ref="I225:I230"/>
    <mergeCell ref="J225:J230"/>
    <mergeCell ref="K225:K230"/>
    <mergeCell ref="L225:L230"/>
    <mergeCell ref="M225:M230"/>
    <mergeCell ref="N225:N230"/>
    <mergeCell ref="O225:O230"/>
    <mergeCell ref="P225:P230"/>
    <mergeCell ref="Q225:Q230"/>
    <mergeCell ref="AP213:AP218"/>
    <mergeCell ref="A219:A224"/>
    <mergeCell ref="B219:B224"/>
    <mergeCell ref="C219:C224"/>
    <mergeCell ref="D219:D224"/>
    <mergeCell ref="E219:E224"/>
    <mergeCell ref="F219:F224"/>
    <mergeCell ref="G219:G224"/>
    <mergeCell ref="H219:H224"/>
    <mergeCell ref="I219:I224"/>
    <mergeCell ref="J219:J224"/>
    <mergeCell ref="K219:K224"/>
    <mergeCell ref="L219:L224"/>
    <mergeCell ref="M219:M224"/>
    <mergeCell ref="N219:N224"/>
    <mergeCell ref="O219:O224"/>
    <mergeCell ref="P219:P224"/>
    <mergeCell ref="Q219:Q224"/>
    <mergeCell ref="R219:R224"/>
    <mergeCell ref="S219:S224"/>
    <mergeCell ref="AJ219:AJ224"/>
    <mergeCell ref="AK219:AK224"/>
    <mergeCell ref="AL219:AL224"/>
    <mergeCell ref="AM219:AM224"/>
    <mergeCell ref="Q213:Q218"/>
    <mergeCell ref="R213:R218"/>
    <mergeCell ref="S213:S218"/>
    <mergeCell ref="AJ213:AJ218"/>
    <mergeCell ref="AK213:AK218"/>
    <mergeCell ref="AL213:AL218"/>
    <mergeCell ref="AM213:AM218"/>
    <mergeCell ref="AN213:AN218"/>
    <mergeCell ref="AO213:AO218"/>
    <mergeCell ref="S207:S212"/>
    <mergeCell ref="AJ207:AJ212"/>
    <mergeCell ref="AK207:AK212"/>
    <mergeCell ref="AL207:AL212"/>
    <mergeCell ref="AM207:AM212"/>
    <mergeCell ref="AN207:AN212"/>
    <mergeCell ref="AO207:AO212"/>
    <mergeCell ref="AP207:AP212"/>
    <mergeCell ref="A213:A218"/>
    <mergeCell ref="B213:B218"/>
    <mergeCell ref="C213:C218"/>
    <mergeCell ref="D213:D218"/>
    <mergeCell ref="E213:E218"/>
    <mergeCell ref="F213:F218"/>
    <mergeCell ref="G213:G218"/>
    <mergeCell ref="H213:H218"/>
    <mergeCell ref="I213:I218"/>
    <mergeCell ref="J213:J218"/>
    <mergeCell ref="K213:K218"/>
    <mergeCell ref="L213:L218"/>
    <mergeCell ref="M213:M218"/>
    <mergeCell ref="N213:N218"/>
    <mergeCell ref="O213:O218"/>
    <mergeCell ref="P213:P218"/>
    <mergeCell ref="J207:J212"/>
    <mergeCell ref="K207:K212"/>
    <mergeCell ref="L207:L212"/>
    <mergeCell ref="M207:M212"/>
    <mergeCell ref="N207:N212"/>
    <mergeCell ref="O207:O212"/>
    <mergeCell ref="P207:P212"/>
    <mergeCell ref="Q207:Q212"/>
    <mergeCell ref="R207:R212"/>
    <mergeCell ref="A207:A212"/>
    <mergeCell ref="B207:B212"/>
    <mergeCell ref="C207:C212"/>
    <mergeCell ref="D207:D212"/>
    <mergeCell ref="E207:E212"/>
    <mergeCell ref="F207:F212"/>
    <mergeCell ref="G207:G212"/>
    <mergeCell ref="H207:H212"/>
    <mergeCell ref="I207:I212"/>
    <mergeCell ref="R201:R206"/>
    <mergeCell ref="S201:S206"/>
    <mergeCell ref="AJ201:AJ206"/>
    <mergeCell ref="AK201:AK206"/>
    <mergeCell ref="AL201:AL206"/>
    <mergeCell ref="AM201:AM206"/>
    <mergeCell ref="AN201:AN206"/>
    <mergeCell ref="AO201:AO206"/>
    <mergeCell ref="AP201:AP206"/>
    <mergeCell ref="AJ195:AJ200"/>
    <mergeCell ref="AK195:AK200"/>
    <mergeCell ref="AL195:AL200"/>
    <mergeCell ref="AM195:AM200"/>
    <mergeCell ref="AN195:AN200"/>
    <mergeCell ref="AO195:AO200"/>
    <mergeCell ref="AP195:AP200"/>
    <mergeCell ref="A201:A206"/>
    <mergeCell ref="B201:B206"/>
    <mergeCell ref="C201:C206"/>
    <mergeCell ref="D201:D206"/>
    <mergeCell ref="E201:E206"/>
    <mergeCell ref="F201:F206"/>
    <mergeCell ref="G201:G206"/>
    <mergeCell ref="H201:H206"/>
    <mergeCell ref="I201:I206"/>
    <mergeCell ref="J201:J206"/>
    <mergeCell ref="K201:K206"/>
    <mergeCell ref="L201:L206"/>
    <mergeCell ref="M201:M206"/>
    <mergeCell ref="N201:N206"/>
    <mergeCell ref="O201:O206"/>
    <mergeCell ref="P201:P206"/>
    <mergeCell ref="Q201:Q206"/>
    <mergeCell ref="A195:A200"/>
    <mergeCell ref="B195:B200"/>
    <mergeCell ref="C195:C200"/>
    <mergeCell ref="D195:D200"/>
    <mergeCell ref="E195:E200"/>
    <mergeCell ref="F195:F200"/>
    <mergeCell ref="G195:G200"/>
    <mergeCell ref="H195:H200"/>
    <mergeCell ref="I195:I200"/>
    <mergeCell ref="J195:J200"/>
    <mergeCell ref="K195:K200"/>
    <mergeCell ref="L195:L200"/>
    <mergeCell ref="M195:M200"/>
    <mergeCell ref="N195:N200"/>
    <mergeCell ref="O195:O200"/>
    <mergeCell ref="P195:P200"/>
    <mergeCell ref="Q195:Q200"/>
    <mergeCell ref="AN183:AN188"/>
    <mergeCell ref="AO183:AO188"/>
    <mergeCell ref="AP183:AP188"/>
    <mergeCell ref="R189:R194"/>
    <mergeCell ref="S189:S194"/>
    <mergeCell ref="AJ189:AJ194"/>
    <mergeCell ref="AK189:AK194"/>
    <mergeCell ref="AL189:AL194"/>
    <mergeCell ref="AM189:AM194"/>
    <mergeCell ref="AN189:AN194"/>
    <mergeCell ref="AO189:AO194"/>
    <mergeCell ref="AP189:AP194"/>
    <mergeCell ref="R195:R200"/>
    <mergeCell ref="S195:S200"/>
    <mergeCell ref="A189:A194"/>
    <mergeCell ref="B189:B194"/>
    <mergeCell ref="C189:C194"/>
    <mergeCell ref="D189:D194"/>
    <mergeCell ref="E189:E194"/>
    <mergeCell ref="F189:F194"/>
    <mergeCell ref="G189:G194"/>
    <mergeCell ref="H189:H194"/>
    <mergeCell ref="I189:I194"/>
    <mergeCell ref="J189:J194"/>
    <mergeCell ref="K189:K194"/>
    <mergeCell ref="L189:L194"/>
    <mergeCell ref="M189:M194"/>
    <mergeCell ref="N189:N194"/>
    <mergeCell ref="O189:O194"/>
    <mergeCell ref="P189:P194"/>
    <mergeCell ref="Q189:Q194"/>
    <mergeCell ref="AP177:AP182"/>
    <mergeCell ref="A183:A188"/>
    <mergeCell ref="B183:B188"/>
    <mergeCell ref="C183:C188"/>
    <mergeCell ref="D183:D188"/>
    <mergeCell ref="E183:E188"/>
    <mergeCell ref="F183:F188"/>
    <mergeCell ref="G183:G188"/>
    <mergeCell ref="H183:H188"/>
    <mergeCell ref="I183:I188"/>
    <mergeCell ref="J183:J188"/>
    <mergeCell ref="K183:K188"/>
    <mergeCell ref="L183:L188"/>
    <mergeCell ref="M183:M188"/>
    <mergeCell ref="N183:N188"/>
    <mergeCell ref="O183:O188"/>
    <mergeCell ref="P183:P188"/>
    <mergeCell ref="Q183:Q188"/>
    <mergeCell ref="R183:R188"/>
    <mergeCell ref="S183:S188"/>
    <mergeCell ref="AJ183:AJ188"/>
    <mergeCell ref="AK183:AK188"/>
    <mergeCell ref="AL183:AL188"/>
    <mergeCell ref="AM183:AM188"/>
    <mergeCell ref="Q177:Q182"/>
    <mergeCell ref="R177:R182"/>
    <mergeCell ref="S177:S182"/>
    <mergeCell ref="AJ177:AJ182"/>
    <mergeCell ref="AK177:AK182"/>
    <mergeCell ref="AL177:AL182"/>
    <mergeCell ref="AM177:AM182"/>
    <mergeCell ref="AN177:AN182"/>
    <mergeCell ref="AO177:AO182"/>
    <mergeCell ref="S171:S176"/>
    <mergeCell ref="AJ171:AJ176"/>
    <mergeCell ref="AK171:AK176"/>
    <mergeCell ref="AL171:AL176"/>
    <mergeCell ref="AM171:AM176"/>
    <mergeCell ref="AN171:AN176"/>
    <mergeCell ref="AO171:AO176"/>
    <mergeCell ref="AP171:AP176"/>
    <mergeCell ref="A177:A182"/>
    <mergeCell ref="B177:B182"/>
    <mergeCell ref="C177:C182"/>
    <mergeCell ref="D177:D182"/>
    <mergeCell ref="E177:E182"/>
    <mergeCell ref="F177:F182"/>
    <mergeCell ref="G177:G182"/>
    <mergeCell ref="H177:H182"/>
    <mergeCell ref="I177:I182"/>
    <mergeCell ref="J177:J182"/>
    <mergeCell ref="K177:K182"/>
    <mergeCell ref="L177:L182"/>
    <mergeCell ref="M177:M182"/>
    <mergeCell ref="N177:N182"/>
    <mergeCell ref="O177:O182"/>
    <mergeCell ref="P177:P182"/>
    <mergeCell ref="J171:J176"/>
    <mergeCell ref="K171:K176"/>
    <mergeCell ref="L171:L176"/>
    <mergeCell ref="M171:M176"/>
    <mergeCell ref="N171:N176"/>
    <mergeCell ref="O171:O176"/>
    <mergeCell ref="P171:P176"/>
    <mergeCell ref="Q171:Q176"/>
    <mergeCell ref="R171:R176"/>
    <mergeCell ref="A171:A176"/>
    <mergeCell ref="B171:B176"/>
    <mergeCell ref="C171:C176"/>
    <mergeCell ref="D171:D176"/>
    <mergeCell ref="E171:E176"/>
    <mergeCell ref="F171:F176"/>
    <mergeCell ref="G171:G176"/>
    <mergeCell ref="H171:H176"/>
    <mergeCell ref="I171:I176"/>
    <mergeCell ref="R165:R170"/>
    <mergeCell ref="S165:S170"/>
    <mergeCell ref="AJ165:AJ170"/>
    <mergeCell ref="AK165:AK170"/>
    <mergeCell ref="AL165:AL170"/>
    <mergeCell ref="AM165:AM170"/>
    <mergeCell ref="AN165:AN170"/>
    <mergeCell ref="AO165:AO170"/>
    <mergeCell ref="AP165:AP170"/>
    <mergeCell ref="AJ159:AJ164"/>
    <mergeCell ref="AK159:AK164"/>
    <mergeCell ref="AL159:AL164"/>
    <mergeCell ref="AM159:AM164"/>
    <mergeCell ref="AN159:AN164"/>
    <mergeCell ref="AO159:AO164"/>
    <mergeCell ref="AP159:AP164"/>
    <mergeCell ref="A165:A170"/>
    <mergeCell ref="B165:B170"/>
    <mergeCell ref="C165:C170"/>
    <mergeCell ref="D165:D170"/>
    <mergeCell ref="E165:E170"/>
    <mergeCell ref="F165:F170"/>
    <mergeCell ref="G165:G170"/>
    <mergeCell ref="H165:H170"/>
    <mergeCell ref="I165:I170"/>
    <mergeCell ref="J165:J170"/>
    <mergeCell ref="K165:K170"/>
    <mergeCell ref="L165:L170"/>
    <mergeCell ref="M165:M170"/>
    <mergeCell ref="N165:N170"/>
    <mergeCell ref="O165:O170"/>
    <mergeCell ref="P165:P170"/>
    <mergeCell ref="Q165:Q170"/>
    <mergeCell ref="A159:A164"/>
    <mergeCell ref="B159:B164"/>
    <mergeCell ref="C159:C164"/>
    <mergeCell ref="D159:D164"/>
    <mergeCell ref="E159:E164"/>
    <mergeCell ref="F159:F164"/>
    <mergeCell ref="G159:G164"/>
    <mergeCell ref="H159:H164"/>
    <mergeCell ref="I159:I164"/>
    <mergeCell ref="J159:J164"/>
    <mergeCell ref="K159:K164"/>
    <mergeCell ref="L159:L164"/>
    <mergeCell ref="M159:M164"/>
    <mergeCell ref="N159:N164"/>
    <mergeCell ref="O159:O164"/>
    <mergeCell ref="P159:P164"/>
    <mergeCell ref="Q159:Q164"/>
    <mergeCell ref="AN147:AN152"/>
    <mergeCell ref="AO147:AO152"/>
    <mergeCell ref="AP147:AP152"/>
    <mergeCell ref="R153:R158"/>
    <mergeCell ref="S153:S158"/>
    <mergeCell ref="AJ153:AJ158"/>
    <mergeCell ref="AK153:AK158"/>
    <mergeCell ref="AL153:AL158"/>
    <mergeCell ref="AM153:AM158"/>
    <mergeCell ref="AN153:AN158"/>
    <mergeCell ref="AO153:AO158"/>
    <mergeCell ref="AP153:AP158"/>
    <mergeCell ref="R159:R164"/>
    <mergeCell ref="S159:S164"/>
    <mergeCell ref="A153:A158"/>
    <mergeCell ref="B153:B158"/>
    <mergeCell ref="C153:C158"/>
    <mergeCell ref="D153:D158"/>
    <mergeCell ref="E153:E158"/>
    <mergeCell ref="F153:F158"/>
    <mergeCell ref="G153:G158"/>
    <mergeCell ref="H153:H158"/>
    <mergeCell ref="I153:I158"/>
    <mergeCell ref="J153:J158"/>
    <mergeCell ref="K153:K158"/>
    <mergeCell ref="L153:L158"/>
    <mergeCell ref="M153:M158"/>
    <mergeCell ref="N153:N158"/>
    <mergeCell ref="O153:O158"/>
    <mergeCell ref="P153:P158"/>
    <mergeCell ref="Q153:Q158"/>
    <mergeCell ref="AP141:AP146"/>
    <mergeCell ref="A147:A152"/>
    <mergeCell ref="B147:B152"/>
    <mergeCell ref="C147:C152"/>
    <mergeCell ref="D147:D152"/>
    <mergeCell ref="E147:E152"/>
    <mergeCell ref="F147:F152"/>
    <mergeCell ref="G147:G152"/>
    <mergeCell ref="H147:H152"/>
    <mergeCell ref="I147:I152"/>
    <mergeCell ref="J147:J152"/>
    <mergeCell ref="K147:K152"/>
    <mergeCell ref="L147:L152"/>
    <mergeCell ref="M147:M152"/>
    <mergeCell ref="N147:N152"/>
    <mergeCell ref="O147:O152"/>
    <mergeCell ref="P147:P152"/>
    <mergeCell ref="Q147:Q152"/>
    <mergeCell ref="R147:R152"/>
    <mergeCell ref="S147:S152"/>
    <mergeCell ref="AJ147:AJ152"/>
    <mergeCell ref="AK147:AK152"/>
    <mergeCell ref="AL147:AL152"/>
    <mergeCell ref="AM147:AM152"/>
    <mergeCell ref="Q141:Q146"/>
    <mergeCell ref="R141:R146"/>
    <mergeCell ref="S141:S146"/>
    <mergeCell ref="AJ141:AJ146"/>
    <mergeCell ref="AK141:AK146"/>
    <mergeCell ref="AL141:AL146"/>
    <mergeCell ref="AM141:AM146"/>
    <mergeCell ref="AN141:AN146"/>
    <mergeCell ref="AO141:AO146"/>
    <mergeCell ref="S135:S140"/>
    <mergeCell ref="AJ135:AJ140"/>
    <mergeCell ref="AK135:AK140"/>
    <mergeCell ref="AL135:AL140"/>
    <mergeCell ref="AM135:AM140"/>
    <mergeCell ref="AN135:AN140"/>
    <mergeCell ref="AO135:AO140"/>
    <mergeCell ref="AP135:AP140"/>
    <mergeCell ref="A141:A146"/>
    <mergeCell ref="B141:B146"/>
    <mergeCell ref="C141:C146"/>
    <mergeCell ref="D141:D146"/>
    <mergeCell ref="E141:E146"/>
    <mergeCell ref="F141:F146"/>
    <mergeCell ref="G141:G146"/>
    <mergeCell ref="H141:H146"/>
    <mergeCell ref="I141:I146"/>
    <mergeCell ref="J141:J146"/>
    <mergeCell ref="K141:K146"/>
    <mergeCell ref="L141:L146"/>
    <mergeCell ref="M141:M146"/>
    <mergeCell ref="N141:N146"/>
    <mergeCell ref="O141:O146"/>
    <mergeCell ref="P141:P146"/>
    <mergeCell ref="J135:J140"/>
    <mergeCell ref="K135:K140"/>
    <mergeCell ref="L135:L140"/>
    <mergeCell ref="M135:M140"/>
    <mergeCell ref="N135:N140"/>
    <mergeCell ref="O135:O140"/>
    <mergeCell ref="P135:P140"/>
    <mergeCell ref="Q135:Q140"/>
    <mergeCell ref="R135:R140"/>
    <mergeCell ref="A135:A140"/>
    <mergeCell ref="B135:B140"/>
    <mergeCell ref="C135:C140"/>
    <mergeCell ref="D135:D140"/>
    <mergeCell ref="E135:E140"/>
    <mergeCell ref="F135:F140"/>
    <mergeCell ref="G135:G140"/>
    <mergeCell ref="H135:H140"/>
    <mergeCell ref="I135:I140"/>
    <mergeCell ref="R129:R134"/>
    <mergeCell ref="S129:S134"/>
    <mergeCell ref="AJ129:AJ134"/>
    <mergeCell ref="AK129:AK134"/>
    <mergeCell ref="AL129:AL134"/>
    <mergeCell ref="AM129:AM134"/>
    <mergeCell ref="AN129:AN134"/>
    <mergeCell ref="AO129:AO134"/>
    <mergeCell ref="AP129:AP134"/>
    <mergeCell ref="AJ123:AJ128"/>
    <mergeCell ref="AK123:AK128"/>
    <mergeCell ref="AL123:AL128"/>
    <mergeCell ref="AM123:AM128"/>
    <mergeCell ref="AN123:AN128"/>
    <mergeCell ref="AO123:AO128"/>
    <mergeCell ref="AP123:AP128"/>
    <mergeCell ref="A129:A134"/>
    <mergeCell ref="B129:B134"/>
    <mergeCell ref="C129:C134"/>
    <mergeCell ref="D129:D134"/>
    <mergeCell ref="E129:E134"/>
    <mergeCell ref="F129:F134"/>
    <mergeCell ref="G129:G134"/>
    <mergeCell ref="H129:H134"/>
    <mergeCell ref="I129:I134"/>
    <mergeCell ref="J129:J134"/>
    <mergeCell ref="K129:K134"/>
    <mergeCell ref="L129:L134"/>
    <mergeCell ref="M129:M134"/>
    <mergeCell ref="N129:N134"/>
    <mergeCell ref="O129:O134"/>
    <mergeCell ref="P129:P134"/>
    <mergeCell ref="Q129:Q134"/>
    <mergeCell ref="A123:A128"/>
    <mergeCell ref="B123:B128"/>
    <mergeCell ref="C123:C128"/>
    <mergeCell ref="D123:D128"/>
    <mergeCell ref="E123:E128"/>
    <mergeCell ref="F123:F128"/>
    <mergeCell ref="G123:G128"/>
    <mergeCell ref="H123:H128"/>
    <mergeCell ref="I123:I128"/>
    <mergeCell ref="J123:J128"/>
    <mergeCell ref="K123:K128"/>
    <mergeCell ref="L123:L128"/>
    <mergeCell ref="M123:M128"/>
    <mergeCell ref="N123:N128"/>
    <mergeCell ref="O123:O128"/>
    <mergeCell ref="P123:P128"/>
    <mergeCell ref="Q123:Q128"/>
    <mergeCell ref="AN111:AN116"/>
    <mergeCell ref="AO111:AO116"/>
    <mergeCell ref="AP111:AP116"/>
    <mergeCell ref="R117:R122"/>
    <mergeCell ref="S117:S122"/>
    <mergeCell ref="AJ117:AJ122"/>
    <mergeCell ref="AK117:AK122"/>
    <mergeCell ref="AL117:AL122"/>
    <mergeCell ref="AM117:AM122"/>
    <mergeCell ref="AN117:AN122"/>
    <mergeCell ref="AO117:AO122"/>
    <mergeCell ref="AP117:AP122"/>
    <mergeCell ref="R123:R128"/>
    <mergeCell ref="S123:S128"/>
    <mergeCell ref="A117:A122"/>
    <mergeCell ref="B117:B122"/>
    <mergeCell ref="C117:C122"/>
    <mergeCell ref="D117:D122"/>
    <mergeCell ref="E117:E122"/>
    <mergeCell ref="F117:F122"/>
    <mergeCell ref="G117:G122"/>
    <mergeCell ref="H117:H122"/>
    <mergeCell ref="I117:I122"/>
    <mergeCell ref="J117:J122"/>
    <mergeCell ref="K117:K122"/>
    <mergeCell ref="L117:L122"/>
    <mergeCell ref="M117:M122"/>
    <mergeCell ref="N117:N122"/>
    <mergeCell ref="O117:O122"/>
    <mergeCell ref="P117:P122"/>
    <mergeCell ref="Q117:Q122"/>
    <mergeCell ref="AP105:AP110"/>
    <mergeCell ref="A111:A116"/>
    <mergeCell ref="B111:B116"/>
    <mergeCell ref="C111:C116"/>
    <mergeCell ref="D111:D116"/>
    <mergeCell ref="E111:E116"/>
    <mergeCell ref="F111:F116"/>
    <mergeCell ref="G111:G116"/>
    <mergeCell ref="H111:H116"/>
    <mergeCell ref="I111:I116"/>
    <mergeCell ref="J111:J116"/>
    <mergeCell ref="K111:K116"/>
    <mergeCell ref="L111:L116"/>
    <mergeCell ref="M111:M116"/>
    <mergeCell ref="N111:N116"/>
    <mergeCell ref="O111:O116"/>
    <mergeCell ref="P111:P116"/>
    <mergeCell ref="Q111:Q116"/>
    <mergeCell ref="R111:R116"/>
    <mergeCell ref="S111:S116"/>
    <mergeCell ref="AJ111:AJ116"/>
    <mergeCell ref="AK111:AK116"/>
    <mergeCell ref="AL111:AL116"/>
    <mergeCell ref="AM111:AM116"/>
    <mergeCell ref="Q105:Q110"/>
    <mergeCell ref="R105:R110"/>
    <mergeCell ref="S105:S110"/>
    <mergeCell ref="AJ105:AJ110"/>
    <mergeCell ref="AK105:AK110"/>
    <mergeCell ref="AL105:AL110"/>
    <mergeCell ref="AM105:AM110"/>
    <mergeCell ref="AN105:AN110"/>
    <mergeCell ref="AO105:AO110"/>
    <mergeCell ref="S103:S104"/>
    <mergeCell ref="AJ103:AJ104"/>
    <mergeCell ref="AK103:AK104"/>
    <mergeCell ref="AL103:AL104"/>
    <mergeCell ref="AM103:AM104"/>
    <mergeCell ref="AN103:AN104"/>
    <mergeCell ref="AO103:AO104"/>
    <mergeCell ref="AP103:AP104"/>
    <mergeCell ref="A105:A110"/>
    <mergeCell ref="B105:B110"/>
    <mergeCell ref="C105:C110"/>
    <mergeCell ref="D105:D110"/>
    <mergeCell ref="E105:E110"/>
    <mergeCell ref="F105:F110"/>
    <mergeCell ref="G105:G110"/>
    <mergeCell ref="H105:H110"/>
    <mergeCell ref="I105:I110"/>
    <mergeCell ref="J105:J110"/>
    <mergeCell ref="K105:K110"/>
    <mergeCell ref="L105:L110"/>
    <mergeCell ref="M105:M110"/>
    <mergeCell ref="N105:N110"/>
    <mergeCell ref="O105:O110"/>
    <mergeCell ref="P105:P110"/>
    <mergeCell ref="J103:J104"/>
    <mergeCell ref="K103:K104"/>
    <mergeCell ref="L103:L104"/>
    <mergeCell ref="M103:M104"/>
    <mergeCell ref="N103:N104"/>
    <mergeCell ref="O103:O104"/>
    <mergeCell ref="P103:P104"/>
    <mergeCell ref="Q103:Q104"/>
    <mergeCell ref="R103:R104"/>
    <mergeCell ref="A103:A104"/>
    <mergeCell ref="B103:B104"/>
    <mergeCell ref="C103:C104"/>
    <mergeCell ref="D103:D104"/>
    <mergeCell ref="E103:E104"/>
    <mergeCell ref="F103:F104"/>
    <mergeCell ref="G103:G104"/>
    <mergeCell ref="H103:H104"/>
    <mergeCell ref="I103:I104"/>
    <mergeCell ref="R101:R102"/>
    <mergeCell ref="S101:S102"/>
    <mergeCell ref="AJ101:AJ102"/>
    <mergeCell ref="AK101:AK102"/>
    <mergeCell ref="AL101:AL102"/>
    <mergeCell ref="AM101:AM102"/>
    <mergeCell ref="AN101:AN102"/>
    <mergeCell ref="AO101:AO102"/>
    <mergeCell ref="AP101:AP102"/>
    <mergeCell ref="AJ97:AJ100"/>
    <mergeCell ref="AK97:AK100"/>
    <mergeCell ref="AL97:AL100"/>
    <mergeCell ref="AM97:AM100"/>
    <mergeCell ref="AN97:AN100"/>
    <mergeCell ref="AO97:AO100"/>
    <mergeCell ref="AP97:AP100"/>
    <mergeCell ref="A101:A102"/>
    <mergeCell ref="B101:B102"/>
    <mergeCell ref="C101:C102"/>
    <mergeCell ref="D101:D102"/>
    <mergeCell ref="E101:E102"/>
    <mergeCell ref="F101:F102"/>
    <mergeCell ref="G101:G102"/>
    <mergeCell ref="H101:H102"/>
    <mergeCell ref="I101:I102"/>
    <mergeCell ref="J101:J102"/>
    <mergeCell ref="K101:K102"/>
    <mergeCell ref="L101:L102"/>
    <mergeCell ref="M101:M102"/>
    <mergeCell ref="N101:N102"/>
    <mergeCell ref="O101:O102"/>
    <mergeCell ref="P101:P102"/>
    <mergeCell ref="Q101:Q102"/>
    <mergeCell ref="AL94:AL96"/>
    <mergeCell ref="AM94:AM96"/>
    <mergeCell ref="AN94:AN96"/>
    <mergeCell ref="AO94:AO96"/>
    <mergeCell ref="AP94:AP96"/>
    <mergeCell ref="A97:A100"/>
    <mergeCell ref="B97:B100"/>
    <mergeCell ref="C97:C100"/>
    <mergeCell ref="D97:D100"/>
    <mergeCell ref="E97:E100"/>
    <mergeCell ref="F97:F100"/>
    <mergeCell ref="G97:G100"/>
    <mergeCell ref="H97:H100"/>
    <mergeCell ref="I97:I100"/>
    <mergeCell ref="J97:J100"/>
    <mergeCell ref="K97:K100"/>
    <mergeCell ref="L97:L100"/>
    <mergeCell ref="M97:M100"/>
    <mergeCell ref="N97:N100"/>
    <mergeCell ref="O97:O100"/>
    <mergeCell ref="P97:P100"/>
    <mergeCell ref="Q97:Q100"/>
    <mergeCell ref="R97:R100"/>
    <mergeCell ref="S97:S100"/>
    <mergeCell ref="A94:A96"/>
    <mergeCell ref="B94:B96"/>
    <mergeCell ref="C94:C96"/>
    <mergeCell ref="D94:D96"/>
    <mergeCell ref="E94:E96"/>
    <mergeCell ref="F94:F96"/>
    <mergeCell ref="G94:G96"/>
    <mergeCell ref="H94:H96"/>
    <mergeCell ref="I94:I96"/>
    <mergeCell ref="J94:J96"/>
    <mergeCell ref="K94:K96"/>
    <mergeCell ref="L94:L96"/>
    <mergeCell ref="M94:M96"/>
    <mergeCell ref="N94:N96"/>
    <mergeCell ref="O94:O96"/>
    <mergeCell ref="P94:P96"/>
    <mergeCell ref="Q94:Q96"/>
    <mergeCell ref="R88:R93"/>
    <mergeCell ref="S88:S93"/>
    <mergeCell ref="AJ88:AJ93"/>
    <mergeCell ref="AK88:AK93"/>
    <mergeCell ref="R94:R96"/>
    <mergeCell ref="S94:S96"/>
    <mergeCell ref="AJ94:AJ96"/>
    <mergeCell ref="AK94:AK96"/>
    <mergeCell ref="AL88:AL93"/>
    <mergeCell ref="AM88:AM93"/>
    <mergeCell ref="Q82:Q87"/>
    <mergeCell ref="R82:R87"/>
    <mergeCell ref="S82:S87"/>
    <mergeCell ref="AJ82:AJ87"/>
    <mergeCell ref="AK82:AK87"/>
    <mergeCell ref="AL82:AL87"/>
    <mergeCell ref="AM82:AM87"/>
    <mergeCell ref="AN82:AN87"/>
    <mergeCell ref="AN88:AN93"/>
    <mergeCell ref="AO88:AO93"/>
    <mergeCell ref="AP88:AP93"/>
    <mergeCell ref="A88:A93"/>
    <mergeCell ref="B88:B93"/>
    <mergeCell ref="C88:C93"/>
    <mergeCell ref="D88:D93"/>
    <mergeCell ref="E88:E93"/>
    <mergeCell ref="F88:F93"/>
    <mergeCell ref="G88:G93"/>
    <mergeCell ref="H88:H93"/>
    <mergeCell ref="I88:I93"/>
    <mergeCell ref="J88:J93"/>
    <mergeCell ref="K88:K93"/>
    <mergeCell ref="L88:L93"/>
    <mergeCell ref="M88:M93"/>
    <mergeCell ref="N88:N93"/>
    <mergeCell ref="O88:O93"/>
    <mergeCell ref="P88:P93"/>
    <mergeCell ref="Q88:Q93"/>
    <mergeCell ref="AO82:AO87"/>
    <mergeCell ref="A82:A87"/>
    <mergeCell ref="B82:B87"/>
    <mergeCell ref="C82:C87"/>
    <mergeCell ref="D82:D87"/>
    <mergeCell ref="E82:E87"/>
    <mergeCell ref="F82:F87"/>
    <mergeCell ref="G82:G87"/>
    <mergeCell ref="H82:H87"/>
    <mergeCell ref="I82:I87"/>
    <mergeCell ref="J82:J87"/>
    <mergeCell ref="K82:K87"/>
    <mergeCell ref="L82:L87"/>
    <mergeCell ref="M82:M87"/>
    <mergeCell ref="N82:N87"/>
    <mergeCell ref="O82:O87"/>
    <mergeCell ref="P82:P87"/>
    <mergeCell ref="AP82:AP87"/>
    <mergeCell ref="R76:R81"/>
    <mergeCell ref="A71:A75"/>
    <mergeCell ref="B71:B75"/>
    <mergeCell ref="C71:C75"/>
    <mergeCell ref="D71:D75"/>
    <mergeCell ref="E71:E75"/>
    <mergeCell ref="F71:F75"/>
    <mergeCell ref="G71:G75"/>
    <mergeCell ref="H71:H75"/>
    <mergeCell ref="S76:S81"/>
    <mergeCell ref="AJ76:AJ81"/>
    <mergeCell ref="AK76:AK81"/>
    <mergeCell ref="AL76:AL81"/>
    <mergeCell ref="AM76:AM81"/>
    <mergeCell ref="AN76:AN81"/>
    <mergeCell ref="AO76:AO81"/>
    <mergeCell ref="AP76:AP81"/>
    <mergeCell ref="D66:D70"/>
    <mergeCell ref="E66:E70"/>
    <mergeCell ref="F66:F70"/>
    <mergeCell ref="I66:I70"/>
    <mergeCell ref="K66:K70"/>
    <mergeCell ref="L66:L70"/>
    <mergeCell ref="A42:A47"/>
    <mergeCell ref="I42:I47"/>
    <mergeCell ref="F36:F41"/>
    <mergeCell ref="AJ71:AJ75"/>
    <mergeCell ref="AK71:AK75"/>
    <mergeCell ref="AL71:AL75"/>
    <mergeCell ref="AM71:AM75"/>
    <mergeCell ref="AN71:AN75"/>
    <mergeCell ref="AO71:AO75"/>
    <mergeCell ref="AP71:AP75"/>
    <mergeCell ref="A76:A81"/>
    <mergeCell ref="B76:B81"/>
    <mergeCell ref="C76:C81"/>
    <mergeCell ref="D76:D81"/>
    <mergeCell ref="E76:E81"/>
    <mergeCell ref="F76:F81"/>
    <mergeCell ref="G76:G81"/>
    <mergeCell ref="H76:H81"/>
    <mergeCell ref="J76:J81"/>
    <mergeCell ref="K76:K81"/>
    <mergeCell ref="L76:L81"/>
    <mergeCell ref="M76:M81"/>
    <mergeCell ref="N76:N81"/>
    <mergeCell ref="O76:O81"/>
    <mergeCell ref="P76:P81"/>
    <mergeCell ref="Q76:Q81"/>
    <mergeCell ref="AJ42:AJ47"/>
    <mergeCell ref="AJ48:AJ53"/>
    <mergeCell ref="AJ54:AJ59"/>
    <mergeCell ref="AJ60:AJ65"/>
    <mergeCell ref="AJ66:AJ70"/>
    <mergeCell ref="AM30:AM35"/>
    <mergeCell ref="AM36:AM41"/>
    <mergeCell ref="AM42:AM47"/>
    <mergeCell ref="AM48:AM53"/>
    <mergeCell ref="AM54:AM59"/>
    <mergeCell ref="AM60:AM65"/>
    <mergeCell ref="AM66:AM70"/>
    <mergeCell ref="Q66:Q70"/>
    <mergeCell ref="R66:R70"/>
    <mergeCell ref="S66:S70"/>
    <mergeCell ref="M60:M65"/>
    <mergeCell ref="N60:N65"/>
    <mergeCell ref="O60:O65"/>
    <mergeCell ref="P60:P65"/>
    <mergeCell ref="Q60:Q65"/>
    <mergeCell ref="R60:R65"/>
    <mergeCell ref="S60:S65"/>
    <mergeCell ref="M66:M70"/>
    <mergeCell ref="N66:N70"/>
    <mergeCell ref="O66:O70"/>
    <mergeCell ref="P66:P70"/>
    <mergeCell ref="R42:R47"/>
    <mergeCell ref="S42:S47"/>
    <mergeCell ref="O42:O47"/>
    <mergeCell ref="P42:P47"/>
    <mergeCell ref="Q42:Q47"/>
    <mergeCell ref="N36:N41"/>
    <mergeCell ref="J71:J75"/>
    <mergeCell ref="K71:K75"/>
    <mergeCell ref="L71:L75"/>
    <mergeCell ref="M71:M75"/>
    <mergeCell ref="N71:N75"/>
    <mergeCell ref="O71:O75"/>
    <mergeCell ref="P71:P75"/>
    <mergeCell ref="C48:C53"/>
    <mergeCell ref="B54:B59"/>
    <mergeCell ref="Q71:Q75"/>
    <mergeCell ref="R71:R75"/>
    <mergeCell ref="S71:S75"/>
    <mergeCell ref="K60:K65"/>
    <mergeCell ref="L60:L65"/>
    <mergeCell ref="A66:A70"/>
    <mergeCell ref="A60:A65"/>
    <mergeCell ref="D60:D65"/>
    <mergeCell ref="A48:A53"/>
    <mergeCell ref="J66:J70"/>
    <mergeCell ref="K48:K53"/>
    <mergeCell ref="L48:L53"/>
    <mergeCell ref="B66:B70"/>
    <mergeCell ref="C66:C70"/>
    <mergeCell ref="H66:H70"/>
    <mergeCell ref="G60:G65"/>
    <mergeCell ref="R48:R53"/>
    <mergeCell ref="S48:S53"/>
    <mergeCell ref="G66:G70"/>
    <mergeCell ref="G48:G53"/>
    <mergeCell ref="G54:G59"/>
    <mergeCell ref="D54:D59"/>
    <mergeCell ref="E54:E59"/>
    <mergeCell ref="A5:C5"/>
    <mergeCell ref="A6:C6"/>
    <mergeCell ref="E1:I1"/>
    <mergeCell ref="E2:I2"/>
    <mergeCell ref="E3:I3"/>
    <mergeCell ref="D6:I6"/>
    <mergeCell ref="B60:B65"/>
    <mergeCell ref="C60:C65"/>
    <mergeCell ref="I60:I65"/>
    <mergeCell ref="H18:H23"/>
    <mergeCell ref="H24:H29"/>
    <mergeCell ref="H30:H35"/>
    <mergeCell ref="H36:H41"/>
    <mergeCell ref="H42:H47"/>
    <mergeCell ref="H48:H53"/>
    <mergeCell ref="H54:H59"/>
    <mergeCell ref="H60:H65"/>
    <mergeCell ref="G18:G23"/>
    <mergeCell ref="A9:L9"/>
    <mergeCell ref="E60:E65"/>
    <mergeCell ref="F60:F65"/>
    <mergeCell ref="A54:A59"/>
    <mergeCell ref="J48:J53"/>
    <mergeCell ref="J54:J59"/>
    <mergeCell ref="J60:J65"/>
    <mergeCell ref="C54:C59"/>
    <mergeCell ref="K10:K11"/>
    <mergeCell ref="A18:A23"/>
    <mergeCell ref="D18:D23"/>
    <mergeCell ref="E18:E23"/>
    <mergeCell ref="B42:B47"/>
    <mergeCell ref="C42:C47"/>
    <mergeCell ref="M9:S9"/>
    <mergeCell ref="T9:AB9"/>
    <mergeCell ref="AC9:AI9"/>
    <mergeCell ref="AJ9:AO9"/>
    <mergeCell ref="AE10:AE11"/>
    <mergeCell ref="AJ10:AJ11"/>
    <mergeCell ref="AO10:AO11"/>
    <mergeCell ref="AN10:AN11"/>
    <mergeCell ref="AK30:AK35"/>
    <mergeCell ref="AK36:AK41"/>
    <mergeCell ref="AN30:AN35"/>
    <mergeCell ref="AN36:AN41"/>
    <mergeCell ref="AL30:AL35"/>
    <mergeCell ref="AL36:AL41"/>
    <mergeCell ref="P36:P41"/>
    <mergeCell ref="Q36:Q41"/>
    <mergeCell ref="R36:R41"/>
    <mergeCell ref="S18:S23"/>
    <mergeCell ref="O18:O23"/>
    <mergeCell ref="P18:P23"/>
    <mergeCell ref="Q18:Q23"/>
    <mergeCell ref="R18:R23"/>
    <mergeCell ref="AN18:AN23"/>
    <mergeCell ref="AO18:AO23"/>
    <mergeCell ref="AO30:AO35"/>
    <mergeCell ref="AO36:AO41"/>
    <mergeCell ref="AJ36:AJ41"/>
    <mergeCell ref="R24:R29"/>
    <mergeCell ref="S24:S29"/>
    <mergeCell ref="P24:P29"/>
    <mergeCell ref="Q24:Q29"/>
    <mergeCell ref="S36:S41"/>
    <mergeCell ref="O24:O29"/>
    <mergeCell ref="N24:N29"/>
    <mergeCell ref="N48:N53"/>
    <mergeCell ref="P54:P59"/>
    <mergeCell ref="Q54:Q59"/>
    <mergeCell ref="R54:R59"/>
    <mergeCell ref="S54:S59"/>
    <mergeCell ref="O48:O53"/>
    <mergeCell ref="P48:P53"/>
    <mergeCell ref="Q48:Q53"/>
    <mergeCell ref="N54:N59"/>
    <mergeCell ref="O54:O59"/>
    <mergeCell ref="D36:D41"/>
    <mergeCell ref="E36:E41"/>
    <mergeCell ref="D42:D47"/>
    <mergeCell ref="E42:E47"/>
    <mergeCell ref="F42:F47"/>
    <mergeCell ref="O36:O41"/>
    <mergeCell ref="G24:G29"/>
    <mergeCell ref="I36:I41"/>
    <mergeCell ref="K36:K41"/>
    <mergeCell ref="J36:J41"/>
    <mergeCell ref="J42:J47"/>
    <mergeCell ref="L42:L47"/>
    <mergeCell ref="F54:F59"/>
    <mergeCell ref="M42:M47"/>
    <mergeCell ref="N42:N47"/>
    <mergeCell ref="I54:I59"/>
    <mergeCell ref="D48:D53"/>
    <mergeCell ref="D30:D35"/>
    <mergeCell ref="E30:E35"/>
    <mergeCell ref="F30:F35"/>
    <mergeCell ref="M30:M35"/>
    <mergeCell ref="K54:K59"/>
    <mergeCell ref="L54:L59"/>
    <mergeCell ref="M54:M59"/>
    <mergeCell ref="E48:E53"/>
    <mergeCell ref="F48:F53"/>
    <mergeCell ref="I48:I53"/>
    <mergeCell ref="M48:M53"/>
    <mergeCell ref="B48:B53"/>
    <mergeCell ref="A12:A17"/>
    <mergeCell ref="D12:D17"/>
    <mergeCell ref="K42:K47"/>
    <mergeCell ref="N30:N35"/>
    <mergeCell ref="A24:A29"/>
    <mergeCell ref="D24:D29"/>
    <mergeCell ref="E24:E29"/>
    <mergeCell ref="F24:F29"/>
    <mergeCell ref="I24:I29"/>
    <mergeCell ref="C24:C29"/>
    <mergeCell ref="B30:B35"/>
    <mergeCell ref="C30:C35"/>
    <mergeCell ref="J30:J35"/>
    <mergeCell ref="L24:L29"/>
    <mergeCell ref="M24:M29"/>
    <mergeCell ref="J24:J29"/>
    <mergeCell ref="B24:B29"/>
    <mergeCell ref="K24:K29"/>
    <mergeCell ref="L36:L41"/>
    <mergeCell ref="M36:M41"/>
    <mergeCell ref="B36:B41"/>
    <mergeCell ref="C36:C41"/>
    <mergeCell ref="A36:A41"/>
    <mergeCell ref="M18:M23"/>
    <mergeCell ref="N18:N23"/>
    <mergeCell ref="G30:G35"/>
    <mergeCell ref="G36:G41"/>
    <mergeCell ref="G42:G47"/>
    <mergeCell ref="F18:F23"/>
    <mergeCell ref="I18:I23"/>
    <mergeCell ref="J18:J23"/>
    <mergeCell ref="G10:G11"/>
    <mergeCell ref="J10:J11"/>
    <mergeCell ref="J12:J17"/>
    <mergeCell ref="H10:H11"/>
    <mergeCell ref="B18:B23"/>
    <mergeCell ref="C18:C23"/>
    <mergeCell ref="B10:B11"/>
    <mergeCell ref="C10:C11"/>
    <mergeCell ref="D10:D11"/>
    <mergeCell ref="E12:E17"/>
    <mergeCell ref="F12:F17"/>
    <mergeCell ref="I12:I17"/>
    <mergeCell ref="H12:H17"/>
    <mergeCell ref="G12:G17"/>
    <mergeCell ref="B12:B17"/>
    <mergeCell ref="C12:C17"/>
    <mergeCell ref="F10:F11"/>
    <mergeCell ref="E10:E11"/>
    <mergeCell ref="K12:K17"/>
    <mergeCell ref="L12:L17"/>
    <mergeCell ref="M12:M17"/>
    <mergeCell ref="I30:I35"/>
    <mergeCell ref="K30:K35"/>
    <mergeCell ref="L30:L35"/>
    <mergeCell ref="L10:L11"/>
    <mergeCell ref="M10:M11"/>
    <mergeCell ref="AM10:AM11"/>
    <mergeCell ref="AL10:AL11"/>
    <mergeCell ref="AK10:AK11"/>
    <mergeCell ref="O30:O35"/>
    <mergeCell ref="P30:P35"/>
    <mergeCell ref="Q30:Q35"/>
    <mergeCell ref="R30:R35"/>
    <mergeCell ref="S30:S35"/>
    <mergeCell ref="AP30:AP35"/>
    <mergeCell ref="AJ30:AJ35"/>
    <mergeCell ref="T10:T11"/>
    <mergeCell ref="A10:A11"/>
    <mergeCell ref="I10:I11"/>
    <mergeCell ref="AF10:AF11"/>
    <mergeCell ref="AD10:AD11"/>
    <mergeCell ref="N10:N11"/>
    <mergeCell ref="Q10:Q11"/>
    <mergeCell ref="R10:R11"/>
    <mergeCell ref="S10:S11"/>
    <mergeCell ref="P10:P11"/>
    <mergeCell ref="O10:O11"/>
    <mergeCell ref="S12:S17"/>
    <mergeCell ref="N12:N17"/>
    <mergeCell ref="O12:O17"/>
    <mergeCell ref="P12:P17"/>
    <mergeCell ref="Q12:Q17"/>
    <mergeCell ref="R12:R17"/>
    <mergeCell ref="A30:A35"/>
    <mergeCell ref="K18:K23"/>
    <mergeCell ref="L18:L23"/>
    <mergeCell ref="AP36:AP41"/>
    <mergeCell ref="U5:W5"/>
    <mergeCell ref="AJ24:AJ29"/>
    <mergeCell ref="AK24:AK29"/>
    <mergeCell ref="AL24:AL29"/>
    <mergeCell ref="AM24:AM29"/>
    <mergeCell ref="AN24:AN29"/>
    <mergeCell ref="AO24:AO29"/>
    <mergeCell ref="AP12:AP17"/>
    <mergeCell ref="AP18:AP23"/>
    <mergeCell ref="AP24:AP29"/>
    <mergeCell ref="AJ12:AJ17"/>
    <mergeCell ref="AK12:AK17"/>
    <mergeCell ref="AL12:AL17"/>
    <mergeCell ref="AM12:AM17"/>
    <mergeCell ref="AN12:AN17"/>
    <mergeCell ref="AO12:AO17"/>
    <mergeCell ref="AJ18:AJ23"/>
    <mergeCell ref="AL18:AL23"/>
    <mergeCell ref="AI10:AI11"/>
    <mergeCell ref="AK18:AK23"/>
    <mergeCell ref="AH10:AH11"/>
    <mergeCell ref="AG10:AG11"/>
    <mergeCell ref="AC10:AC11"/>
    <mergeCell ref="U10:U11"/>
    <mergeCell ref="AP9:AP11"/>
    <mergeCell ref="V10:V11"/>
    <mergeCell ref="W10:AB10"/>
    <mergeCell ref="AM18:AM23"/>
    <mergeCell ref="AP42:AP47"/>
    <mergeCell ref="AP48:AP53"/>
    <mergeCell ref="AP60:AP65"/>
    <mergeCell ref="AP66:AP70"/>
    <mergeCell ref="AN42:AN47"/>
    <mergeCell ref="AN48:AN53"/>
    <mergeCell ref="AN54:AN59"/>
    <mergeCell ref="AK42:AK47"/>
    <mergeCell ref="AK48:AK53"/>
    <mergeCell ref="AK54:AK59"/>
    <mergeCell ref="AK60:AK65"/>
    <mergeCell ref="AK66:AK70"/>
    <mergeCell ref="AL42:AL47"/>
    <mergeCell ref="AL48:AL53"/>
    <mergeCell ref="AL54:AL59"/>
    <mergeCell ref="AL60:AL65"/>
    <mergeCell ref="AL66:AL70"/>
    <mergeCell ref="AP54:AP59"/>
    <mergeCell ref="AO42:AO47"/>
    <mergeCell ref="AO48:AO53"/>
    <mergeCell ref="AO54:AO59"/>
    <mergeCell ref="AO60:AO65"/>
    <mergeCell ref="AO66:AO70"/>
    <mergeCell ref="AN60:AN65"/>
    <mergeCell ref="AN66:AN70"/>
  </mergeCells>
  <conditionalFormatting sqref="M12 M18">
    <cfRule type="cellIs" dxfId="98" priority="1206" operator="equal">
      <formula>"Media"</formula>
    </cfRule>
    <cfRule type="cellIs" dxfId="97" priority="1205" operator="equal">
      <formula>"Alta"</formula>
    </cfRule>
    <cfRule type="cellIs" dxfId="96" priority="1204" operator="equal">
      <formula>"Muy Alta"</formula>
    </cfRule>
    <cfRule type="cellIs" dxfId="95" priority="1207" operator="equal">
      <formula>"Baja"</formula>
    </cfRule>
    <cfRule type="cellIs" dxfId="94" priority="1208" operator="equal">
      <formula>"Muy Baja"</formula>
    </cfRule>
  </conditionalFormatting>
  <conditionalFormatting sqref="M24">
    <cfRule type="cellIs" dxfId="93" priority="1107" operator="equal">
      <formula>"Alta"</formula>
    </cfRule>
    <cfRule type="cellIs" dxfId="92" priority="1109" operator="equal">
      <formula>"Baja"</formula>
    </cfRule>
    <cfRule type="cellIs" dxfId="91" priority="1108" operator="equal">
      <formula>"Media"</formula>
    </cfRule>
    <cfRule type="cellIs" dxfId="90" priority="1110" operator="equal">
      <formula>"Muy Baja"</formula>
    </cfRule>
    <cfRule type="cellIs" dxfId="89" priority="1106" operator="equal">
      <formula>"Muy Alta"</formula>
    </cfRule>
  </conditionalFormatting>
  <conditionalFormatting sqref="M30">
    <cfRule type="cellIs" dxfId="88" priority="1082" operator="equal">
      <formula>"Muy Baja"</formula>
    </cfRule>
    <cfRule type="cellIs" dxfId="87" priority="1081" operator="equal">
      <formula>"Baja"</formula>
    </cfRule>
    <cfRule type="cellIs" dxfId="86" priority="1080" operator="equal">
      <formula>"Media"</formula>
    </cfRule>
    <cfRule type="cellIs" dxfId="85" priority="1079" operator="equal">
      <formula>"Alta"</formula>
    </cfRule>
    <cfRule type="cellIs" dxfId="84" priority="1078" operator="equal">
      <formula>"Muy Alta"</formula>
    </cfRule>
  </conditionalFormatting>
  <conditionalFormatting sqref="M36">
    <cfRule type="cellIs" dxfId="83" priority="1050" operator="equal">
      <formula>"Muy Alta"</formula>
    </cfRule>
    <cfRule type="cellIs" dxfId="82" priority="1054" operator="equal">
      <formula>"Muy Baja"</formula>
    </cfRule>
    <cfRule type="cellIs" dxfId="81" priority="1053" operator="equal">
      <formula>"Baja"</formula>
    </cfRule>
    <cfRule type="cellIs" dxfId="80" priority="1052" operator="equal">
      <formula>"Media"</formula>
    </cfRule>
    <cfRule type="cellIs" dxfId="79" priority="1051" operator="equal">
      <formula>"Alta"</formula>
    </cfRule>
  </conditionalFormatting>
  <conditionalFormatting sqref="M42">
    <cfRule type="cellIs" dxfId="78" priority="1023" operator="equal">
      <formula>"Alta"</formula>
    </cfRule>
    <cfRule type="cellIs" dxfId="77" priority="1026" operator="equal">
      <formula>"Muy Baja"</formula>
    </cfRule>
    <cfRule type="cellIs" dxfId="76" priority="1025" operator="equal">
      <formula>"Baja"</formula>
    </cfRule>
    <cfRule type="cellIs" dxfId="75" priority="1024" operator="equal">
      <formula>"Media"</formula>
    </cfRule>
    <cfRule type="cellIs" dxfId="74" priority="1022" operator="equal">
      <formula>"Muy Alta"</formula>
    </cfRule>
  </conditionalFormatting>
  <conditionalFormatting sqref="M48">
    <cfRule type="cellIs" dxfId="73" priority="995" operator="equal">
      <formula>"Alta"</formula>
    </cfRule>
    <cfRule type="cellIs" dxfId="72" priority="996" operator="equal">
      <formula>"Media"</formula>
    </cfRule>
    <cfRule type="cellIs" dxfId="71" priority="997" operator="equal">
      <formula>"Baja"</formula>
    </cfRule>
    <cfRule type="cellIs" dxfId="70" priority="998" operator="equal">
      <formula>"Muy Baja"</formula>
    </cfRule>
    <cfRule type="cellIs" dxfId="69" priority="994" operator="equal">
      <formula>"Muy Alta"</formula>
    </cfRule>
  </conditionalFormatting>
  <conditionalFormatting sqref="M54">
    <cfRule type="cellIs" dxfId="68" priority="966" operator="equal">
      <formula>"Muy Alta"</formula>
    </cfRule>
    <cfRule type="cellIs" dxfId="67" priority="967" operator="equal">
      <formula>"Alta"</formula>
    </cfRule>
    <cfRule type="cellIs" dxfId="66" priority="968" operator="equal">
      <formula>"Media"</formula>
    </cfRule>
    <cfRule type="cellIs" dxfId="65" priority="969" operator="equal">
      <formula>"Baja"</formula>
    </cfRule>
    <cfRule type="cellIs" dxfId="64" priority="970" operator="equal">
      <formula>"Muy Baja"</formula>
    </cfRule>
  </conditionalFormatting>
  <conditionalFormatting sqref="M60 M66 M71 M76 M82 M88 M94 M97 M101 M103 M105 M111 M117 M123 M129 M135 M141 M147 M153 M159 M165 M171 M177 M183 M189 M195 M201 M207 M213 M219 M225 M231 M237 M243 M249 M255 M261 M267 M273 M279 M285 M291 M297 M303 M309 M315 M321">
    <cfRule type="cellIs" dxfId="63" priority="941" operator="equal">
      <formula>"Baja"</formula>
    </cfRule>
    <cfRule type="cellIs" dxfId="62" priority="942" operator="equal">
      <formula>"Muy Baja"</formula>
    </cfRule>
    <cfRule type="cellIs" dxfId="61" priority="939" operator="equal">
      <formula>"Alta"</formula>
    </cfRule>
    <cfRule type="cellIs" dxfId="60" priority="940" operator="equal">
      <formula>"Media"</formula>
    </cfRule>
    <cfRule type="cellIs" dxfId="59" priority="938" operator="equal">
      <formula>"Muy Alta"</formula>
    </cfRule>
  </conditionalFormatting>
  <conditionalFormatting sqref="P12:P326">
    <cfRule type="containsText" dxfId="58" priority="393" operator="containsText" text="❌">
      <formula>NOT(ISERROR(SEARCH("❌",P12)))</formula>
    </cfRule>
  </conditionalFormatting>
  <conditionalFormatting sqref="Q12 Q18 Q24 Q30 Q36 Q42 Q48 Q54 Q60 Q66 Q71 Q76 Q82 Q88 Q94 Q97 Q101 Q103 Q105 Q111 Q117 Q123 Q129 Q135 Q141 Q147 Q153 Q159 Q165 Q171 Q177 Q183 Q189 Q195 Q201 Q207 Q213 Q219 Q225 Q231 Q237 Q243 Q249 Q255 Q261 Q267 Q273 Q279 Q285 Q291 Q297 Q303 Q309 Q315 Q321">
    <cfRule type="cellIs" dxfId="57" priority="1201" operator="equal">
      <formula>"Moderado"</formula>
    </cfRule>
    <cfRule type="cellIs" dxfId="56" priority="1199" operator="equal">
      <formula>"Catastrófico"</formula>
    </cfRule>
    <cfRule type="cellIs" dxfId="55" priority="1200" operator="equal">
      <formula>"Mayor"</formula>
    </cfRule>
    <cfRule type="cellIs" dxfId="54" priority="1202" operator="equal">
      <formula>"Menor"</formula>
    </cfRule>
    <cfRule type="cellIs" dxfId="53" priority="1203" operator="equal">
      <formula>"Leve"</formula>
    </cfRule>
  </conditionalFormatting>
  <conditionalFormatting sqref="S12">
    <cfRule type="cellIs" dxfId="52" priority="1195" operator="equal">
      <formula>"Extremo"</formula>
    </cfRule>
    <cfRule type="cellIs" dxfId="51" priority="1196" operator="equal">
      <formula>"Alto"</formula>
    </cfRule>
    <cfRule type="cellIs" dxfId="50" priority="1197" operator="equal">
      <formula>"Moderado"</formula>
    </cfRule>
    <cfRule type="cellIs" dxfId="49" priority="1198" operator="equal">
      <formula>"Bajo"</formula>
    </cfRule>
  </conditionalFormatting>
  <conditionalFormatting sqref="S18">
    <cfRule type="cellIs" dxfId="48" priority="1128" operator="equal">
      <formula>"Bajo"</formula>
    </cfRule>
    <cfRule type="cellIs" dxfId="47" priority="1127" operator="equal">
      <formula>"Moderado"</formula>
    </cfRule>
    <cfRule type="cellIs" dxfId="46" priority="1126" operator="equal">
      <formula>"Alto"</formula>
    </cfRule>
    <cfRule type="cellIs" dxfId="45" priority="1125" operator="equal">
      <formula>"Extremo"</formula>
    </cfRule>
  </conditionalFormatting>
  <conditionalFormatting sqref="S24">
    <cfRule type="cellIs" dxfId="44" priority="1098" operator="equal">
      <formula>"Alto"</formula>
    </cfRule>
    <cfRule type="cellIs" dxfId="43" priority="1100" operator="equal">
      <formula>"Bajo"</formula>
    </cfRule>
    <cfRule type="cellIs" dxfId="42" priority="1099" operator="equal">
      <formula>"Moderado"</formula>
    </cfRule>
    <cfRule type="cellIs" dxfId="41" priority="1097" operator="equal">
      <formula>"Extremo"</formula>
    </cfRule>
  </conditionalFormatting>
  <conditionalFormatting sqref="S30">
    <cfRule type="cellIs" dxfId="40" priority="1072" operator="equal">
      <formula>"Bajo"</formula>
    </cfRule>
    <cfRule type="cellIs" dxfId="39" priority="1071" operator="equal">
      <formula>"Moderado"</formula>
    </cfRule>
    <cfRule type="cellIs" dxfId="38" priority="1070" operator="equal">
      <formula>"Alto"</formula>
    </cfRule>
    <cfRule type="cellIs" dxfId="37" priority="1069" operator="equal">
      <formula>"Extremo"</formula>
    </cfRule>
  </conditionalFormatting>
  <conditionalFormatting sqref="S36">
    <cfRule type="cellIs" dxfId="36" priority="1041" operator="equal">
      <formula>"Extremo"</formula>
    </cfRule>
    <cfRule type="cellIs" dxfId="35" priority="1043" operator="equal">
      <formula>"Moderado"</formula>
    </cfRule>
    <cfRule type="cellIs" dxfId="34" priority="1044" operator="equal">
      <formula>"Bajo"</formula>
    </cfRule>
    <cfRule type="cellIs" dxfId="33" priority="1042" operator="equal">
      <formula>"Alto"</formula>
    </cfRule>
  </conditionalFormatting>
  <conditionalFormatting sqref="S42">
    <cfRule type="cellIs" dxfId="32" priority="1013" operator="equal">
      <formula>"Extremo"</formula>
    </cfRule>
    <cfRule type="cellIs" dxfId="31" priority="1014" operator="equal">
      <formula>"Alto"</formula>
    </cfRule>
    <cfRule type="cellIs" dxfId="30" priority="1015" operator="equal">
      <formula>"Moderado"</formula>
    </cfRule>
    <cfRule type="cellIs" dxfId="29" priority="1016" operator="equal">
      <formula>"Bajo"</formula>
    </cfRule>
  </conditionalFormatting>
  <conditionalFormatting sqref="S48">
    <cfRule type="cellIs" dxfId="28" priority="985" operator="equal">
      <formula>"Extremo"</formula>
    </cfRule>
    <cfRule type="cellIs" dxfId="27" priority="987" operator="equal">
      <formula>"Moderado"</formula>
    </cfRule>
    <cfRule type="cellIs" dxfId="26" priority="986" operator="equal">
      <formula>"Alto"</formula>
    </cfRule>
    <cfRule type="cellIs" dxfId="25" priority="988" operator="equal">
      <formula>"Bajo"</formula>
    </cfRule>
  </conditionalFormatting>
  <conditionalFormatting sqref="S54">
    <cfRule type="cellIs" dxfId="24" priority="959" operator="equal">
      <formula>"Moderado"</formula>
    </cfRule>
    <cfRule type="cellIs" dxfId="23" priority="958" operator="equal">
      <formula>"Alto"</formula>
    </cfRule>
    <cfRule type="cellIs" dxfId="22" priority="957" operator="equal">
      <formula>"Extremo"</formula>
    </cfRule>
    <cfRule type="cellIs" dxfId="21" priority="960" operator="equal">
      <formula>"Bajo"</formula>
    </cfRule>
  </conditionalFormatting>
  <conditionalFormatting sqref="S60 S66 S71 S76 S82 S88 S94 S97 S101 S103 S105 S111 S117 S123 S129 S135 S141 S147 S153 S159 S165 S171 S177 S183 S189 S195 S201 S207 S213 S219 S225 S231 S237 S243 S249 S255 S261 S267 S273 S279 S285 S291 S297 S303 S309 S315 S321">
    <cfRule type="cellIs" dxfId="20" priority="932" operator="equal">
      <formula>"Bajo"</formula>
    </cfRule>
    <cfRule type="cellIs" dxfId="19" priority="931" operator="equal">
      <formula>"Moderado"</formula>
    </cfRule>
    <cfRule type="cellIs" dxfId="18" priority="930" operator="equal">
      <formula>"Alto"</formula>
    </cfRule>
    <cfRule type="cellIs" dxfId="17" priority="929" operator="equal">
      <formula>"Extremo"</formula>
    </cfRule>
  </conditionalFormatting>
  <conditionalFormatting sqref="AD12:AD326">
    <cfRule type="cellIs" dxfId="16" priority="406" operator="equal">
      <formula>"Baja"</formula>
    </cfRule>
    <cfRule type="cellIs" dxfId="15" priority="405" operator="equal">
      <formula>"Media"</formula>
    </cfRule>
    <cfRule type="cellIs" dxfId="14" priority="404" operator="equal">
      <formula>"Alta"</formula>
    </cfRule>
    <cfRule type="cellIs" dxfId="13" priority="403" operator="equal">
      <formula>"Muy Alta"</formula>
    </cfRule>
    <cfRule type="cellIs" dxfId="12" priority="407" operator="equal">
      <formula>"Muy Baja"</formula>
    </cfRule>
  </conditionalFormatting>
  <conditionalFormatting sqref="AF12:AF326">
    <cfRule type="cellIs" dxfId="11" priority="398" operator="equal">
      <formula>"Catastrófico"</formula>
    </cfRule>
    <cfRule type="cellIs" dxfId="10" priority="401" operator="equal">
      <formula>"Menor"</formula>
    </cfRule>
    <cfRule type="cellIs" dxfId="9" priority="399" operator="equal">
      <formula>"Mayor"</formula>
    </cfRule>
    <cfRule type="cellIs" dxfId="8" priority="400" operator="equal">
      <formula>"Moderado"</formula>
    </cfRule>
    <cfRule type="cellIs" dxfId="7" priority="402" operator="equal">
      <formula>"Leve"</formula>
    </cfRule>
  </conditionalFormatting>
  <conditionalFormatting sqref="AH12:AH326">
    <cfRule type="cellIs" dxfId="6" priority="397" operator="equal">
      <formula>"Bajo"</formula>
    </cfRule>
    <cfRule type="cellIs" dxfId="5" priority="396" operator="equal">
      <formula>"Moderado"</formula>
    </cfRule>
    <cfRule type="cellIs" dxfId="4" priority="395" operator="equal">
      <formula>"Alto"</formula>
    </cfRule>
    <cfRule type="cellIs" dxfId="3" priority="394" operator="equal">
      <formula>"Extremo"</formula>
    </cfRule>
  </conditionalFormatting>
  <dataValidations count="1">
    <dataValidation allowBlank="1" showInputMessage="1" showErrorMessage="1" error="Recuerde que las acciones se generan bajo la medida de mitigar el riesgo" sqref="AJ12 AJ18 AJ24 AJ30 AJ36:AJ42 AJ48:AJ66 AJ71 AJ76 AJ82 AJ88 AJ94 AJ97 AJ101 AJ103 AJ105 AJ111 AJ117 AJ123 AJ129:AJ135 AJ141 AJ171 AJ147 AJ153 AJ159 AJ165 AJ195 AJ177 AJ183 AJ189 AJ201:AJ207 AJ231:AJ237 AJ213 AJ219 AJ225 AJ243 AJ267 AJ249 AJ255 AJ261 AJ291 AJ273:AJ285 AJ315 AJ297 AJ303 AJ309 AJ321" xr:uid="{00000000-0002-0000-0300-000000000000}"/>
  </dataValidations>
  <pageMargins left="0.19685039370078741" right="0.15748031496062992" top="0.23622047244094491" bottom="0.15748031496062992" header="0.15748031496062992" footer="0.15748031496062992"/>
  <pageSetup paperSize="5" scale="30" orientation="landscape" r:id="rId1"/>
  <ignoredErrors>
    <ignoredError sqref="AG14" formula="1"/>
  </ignoredErrors>
  <drawing r:id="rId2"/>
  <legacyDrawing r:id="rId3"/>
  <extLst>
    <ext xmlns:x14="http://schemas.microsoft.com/office/spreadsheetml/2009/9/main" uri="{CCE6A557-97BC-4b89-ADB6-D9C93CAAB3DF}">
      <x14:dataValidations xmlns:xm="http://schemas.microsoft.com/office/excel/2006/main" count="14">
        <x14:dataValidation type="list" allowBlank="1" showInputMessage="1" showErrorMessage="1" xr:uid="{00000000-0002-0000-0300-000001000000}">
          <x14:formula1>
            <xm:f>'Tabla Valoración controles'!$D$4:$D$6</xm:f>
          </x14:formula1>
          <xm:sqref>W12:W47 W60:W65 W80:W81 W85:W87 W92:W93 W108:W110 W114:W116 W119:W122 W125:W128 W133:W134 W281:W284 W324:W326</xm:sqref>
        </x14:dataValidation>
        <x14:dataValidation type="list" allowBlank="1" showInputMessage="1" showErrorMessage="1" xr:uid="{00000000-0002-0000-0300-000008000000}">
          <x14:formula1>
            <xm:f>PARAMETROS!$C$3:$C$24</xm:f>
          </x14:formula1>
          <xm:sqref>C12:C65</xm:sqref>
        </x14:dataValidation>
        <x14:dataValidation type="list" allowBlank="1" showInputMessage="1" showErrorMessage="1" xr:uid="{00000000-0002-0000-0300-00000B000000}">
          <x14:formula1>
            <xm:f>PARAMETROS!$A$54:$A$57</xm:f>
          </x14:formula1>
          <xm:sqref>B12:B53 B66:B70 B105:B110</xm:sqref>
        </x14:dataValidation>
        <x14:dataValidation type="list" allowBlank="1" showInputMessage="1" showErrorMessage="1" xr:uid="{00000000-0002-0000-0300-00000C000000}">
          <x14:formula1>
            <xm:f>PARAMETROS!$A$60:$A$62</xm:f>
          </x14:formula1>
          <xm:sqref>D12:D35 D42:D47</xm:sqref>
        </x14:dataValidation>
        <x14:dataValidation type="list" allowBlank="1" showInputMessage="1" showErrorMessage="1" xr:uid="{00000000-0002-0000-0300-000002000000}">
          <x14:formula1>
            <xm:f>'Tabla Valoración controles'!$D$7:$D$8</xm:f>
          </x14:formula1>
          <xm:sqref>X12:X65 X80:X81 X85:X87 X92:X93 X108:X110 X114:X116 X119:X122 X125:X128 X133:X134 X281:X284 X324:X326</xm:sqref>
        </x14:dataValidation>
        <x14:dataValidation type="list" allowBlank="1" showInputMessage="1" showErrorMessage="1" xr:uid="{00000000-0002-0000-0300-000003000000}">
          <x14:formula1>
            <xm:f>'Tabla Valoración controles'!$D$9:$D$10</xm:f>
          </x14:formula1>
          <xm:sqref>Z12:Z65 Z80:Z81 Z85:Z87 Z92:Z93 Z108:Z110 Z114:Z116 Z119:Z122 Z125:Z128 Z133:Z134 Z281:Z284 Z324:Z326</xm:sqref>
        </x14:dataValidation>
        <x14:dataValidation type="list" allowBlank="1" showInputMessage="1" showErrorMessage="1" xr:uid="{00000000-0002-0000-0300-000004000000}">
          <x14:formula1>
            <xm:f>'Tabla Valoración controles'!$D$11:$D$12</xm:f>
          </x14:formula1>
          <xm:sqref>AA12:AA65 AA80:AA81 AA85:AA87 AA92:AA93 AA108:AA110 AA114:AA116 AA119:AA122 AA125:AA128 AA133:AA134 AA281:AA284 AA324:AA326</xm:sqref>
        </x14:dataValidation>
        <x14:dataValidation type="list" allowBlank="1" showInputMessage="1" showErrorMessage="1" xr:uid="{00000000-0002-0000-0300-000005000000}">
          <x14:formula1>
            <xm:f>'Tabla Valoración controles'!$D$13:$D$14</xm:f>
          </x14:formula1>
          <xm:sqref>AB12:AB65 AB80:AB81 AB85:AB87 AB92:AB93 AB108:AB110 AB114:AB116 AB119:AB122 AB125:AB128 AB133:AB134 AB281:AB284 AB324:AB326</xm:sqref>
        </x14:dataValidation>
        <x14:dataValidation type="list" allowBlank="1" showInputMessage="1" showErrorMessage="1" xr:uid="{00000000-0002-0000-0300-000006000000}">
          <x14:formula1>
            <xm:f>PARAMETROS!$A$41:$A$45</xm:f>
          </x14:formula1>
          <xm:sqref>K12:K65</xm:sqref>
        </x14:dataValidation>
        <x14:dataValidation type="list" allowBlank="1" showInputMessage="1" showErrorMessage="1" xr:uid="{00000000-0002-0000-0300-000009000000}">
          <x14:formula1>
            <xm:f>PARAMETROS!$A$28:$A$38</xm:f>
          </x14:formula1>
          <xm:sqref>J12:J65</xm:sqref>
        </x14:dataValidation>
        <x14:dataValidation type="list" allowBlank="1" showInputMessage="1" showErrorMessage="1" xr:uid="{00000000-0002-0000-0300-00000A000000}">
          <x14:formula1>
            <xm:f>PARAMETROS!$A$48:$A$51</xm:f>
          </x14:formula1>
          <xm:sqref>AI12:AI65</xm:sqref>
        </x14:dataValidation>
        <x14:dataValidation type="list" allowBlank="1" showInputMessage="1" showErrorMessage="1" xr:uid="{00000000-0002-0000-0300-00000D000000}">
          <x14:formula1>
            <xm:f>PARAMETROS!$A$65:$A$66</xm:f>
          </x14:formula1>
          <xm:sqref>AO12:AO65</xm:sqref>
        </x14:dataValidation>
        <x14:dataValidation type="list" allowBlank="1" showInputMessage="1" showErrorMessage="1" xr:uid="{00000000-0002-0000-0300-00000E000000}">
          <x14:formula1>
            <xm:f>PARAMETROS!$B$4:$B$24</xm:f>
          </x14:formula1>
          <xm:sqref>AK12:AK65</xm:sqref>
        </x14:dataValidation>
        <x14:dataValidation type="list" allowBlank="1" showInputMessage="1" showErrorMessage="1" xr:uid="{00000000-0002-0000-0300-000007000000}">
          <x14:formula1>
            <xm:f>'Tabla Impacto'!$F$210:$F$221</xm:f>
          </x14:formula1>
          <xm:sqref>O12:O70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CU140"/>
  <sheetViews>
    <sheetView showGridLines="0" topLeftCell="A15" zoomScale="50" zoomScaleNormal="50" workbookViewId="0">
      <selection activeCell="E6" sqref="E6:I13"/>
    </sheetView>
  </sheetViews>
  <sheetFormatPr baseColWidth="10" defaultRowHeight="14.25" x14ac:dyDescent="0.2"/>
  <cols>
    <col min="1" max="1" width="11.42578125" style="8"/>
    <col min="2" max="39" width="5.7109375" style="8" customWidth="1"/>
    <col min="40" max="40" width="11.42578125" style="8"/>
    <col min="41" max="46" width="5.7109375" style="8" customWidth="1"/>
    <col min="47" max="16384" width="11.42578125" style="8"/>
  </cols>
  <sheetData>
    <row r="1" spans="1:99"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c r="CN1" s="10"/>
      <c r="CO1" s="10"/>
      <c r="CP1" s="10"/>
      <c r="CQ1" s="10"/>
      <c r="CR1" s="10"/>
      <c r="CS1" s="10"/>
      <c r="CT1" s="10"/>
      <c r="CU1" s="10"/>
    </row>
    <row r="2" spans="1:99" ht="18" customHeight="1" x14ac:dyDescent="0.2">
      <c r="A2" s="10"/>
      <c r="B2" s="293" t="s">
        <v>139</v>
      </c>
      <c r="C2" s="293"/>
      <c r="D2" s="293"/>
      <c r="E2" s="293"/>
      <c r="F2" s="293"/>
      <c r="G2" s="293"/>
      <c r="H2" s="293"/>
      <c r="I2" s="293"/>
      <c r="J2" s="331" t="s">
        <v>1</v>
      </c>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row>
    <row r="3" spans="1:99" ht="18.75" customHeight="1" x14ac:dyDescent="0.2">
      <c r="A3" s="10"/>
      <c r="B3" s="293"/>
      <c r="C3" s="293"/>
      <c r="D3" s="293"/>
      <c r="E3" s="293"/>
      <c r="F3" s="293"/>
      <c r="G3" s="293"/>
      <c r="H3" s="293"/>
      <c r="I3" s="293"/>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row>
    <row r="4" spans="1:99" ht="15" customHeight="1" x14ac:dyDescent="0.2">
      <c r="A4" s="10"/>
      <c r="B4" s="293"/>
      <c r="C4" s="293"/>
      <c r="D4" s="293"/>
      <c r="E4" s="293"/>
      <c r="F4" s="293"/>
      <c r="G4" s="293"/>
      <c r="H4" s="293"/>
      <c r="I4" s="293"/>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c r="CN4" s="10"/>
      <c r="CO4" s="10"/>
      <c r="CP4" s="10"/>
      <c r="CQ4" s="10"/>
      <c r="CR4" s="10"/>
      <c r="CS4" s="10"/>
      <c r="CT4" s="10"/>
      <c r="CU4" s="10"/>
    </row>
    <row r="5" spans="1:99"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row>
    <row r="6" spans="1:99" ht="15" customHeight="1" x14ac:dyDescent="0.2">
      <c r="A6" s="10"/>
      <c r="B6" s="343" t="s">
        <v>3</v>
      </c>
      <c r="C6" s="343"/>
      <c r="D6" s="344"/>
      <c r="E6" s="332" t="s">
        <v>109</v>
      </c>
      <c r="F6" s="333"/>
      <c r="G6" s="333"/>
      <c r="H6" s="333"/>
      <c r="I6" s="334"/>
      <c r="J6" s="328" t="str">
        <f>IF(AND('Mapa DIGSA'!$M$12="Muy Alta",'Mapa DIGSA'!$Q$12="Leve"),CONCATENATE("R",'Mapa DIGSA'!$A$12),"")</f>
        <v/>
      </c>
      <c r="K6" s="329"/>
      <c r="L6" s="329" t="str">
        <f>IF(AND('Mapa DIGSA'!$M$18="Muy Alta",'Mapa DIGSA'!$Q$18="Leve"),CONCATENATE("R",'Mapa DIGSA'!$A$18),"")</f>
        <v/>
      </c>
      <c r="M6" s="329"/>
      <c r="N6" s="329" t="str">
        <f>IF(AND('Mapa DIGSA'!$M$24="Muy Alta",'Mapa DIGSA'!$Q$24="Leve"),CONCATENATE("R",'Mapa DIGSA'!$A$24),"")</f>
        <v/>
      </c>
      <c r="O6" s="330"/>
      <c r="P6" s="328" t="str">
        <f>IF(AND('Mapa DIGSA'!$M$12="Muy Alta",'Mapa DIGSA'!$Q$12="Menor"),CONCATENATE("R",'Mapa DIGSA'!$A$12),"")</f>
        <v/>
      </c>
      <c r="Q6" s="329"/>
      <c r="R6" s="329" t="str">
        <f>IF(AND('Mapa DIGSA'!$M$18="Muy Alta",'Mapa DIGSA'!$Q$18="Menor"),CONCATENATE("R",'Mapa DIGSA'!$A$18),"")</f>
        <v/>
      </c>
      <c r="S6" s="329"/>
      <c r="T6" s="329" t="str">
        <f>IF(AND('Mapa DIGSA'!$M$24="Muy Alta",'Mapa DIGSA'!$Q$24="Menor"),CONCATENATE("R",'Mapa DIGSA'!$A$24),"")</f>
        <v/>
      </c>
      <c r="U6" s="330"/>
      <c r="V6" s="328" t="str">
        <f>IF(AND('Mapa DIGSA'!$M$12="Muy Alta",'Mapa DIGSA'!$Q$12="Moderado"),CONCATENATE("R",'Mapa DIGSA'!$A$12),"")</f>
        <v/>
      </c>
      <c r="W6" s="329"/>
      <c r="X6" s="329" t="str">
        <f>IF(AND('Mapa DIGSA'!$M$18="Muy Alta",'Mapa DIGSA'!$Q$18="Moderado"),CONCATENATE("R",'Mapa DIGSA'!$A$18),"")</f>
        <v/>
      </c>
      <c r="Y6" s="329"/>
      <c r="Z6" s="329" t="str">
        <f>IF(AND('Mapa DIGSA'!$M$24="Muy Alta",'Mapa DIGSA'!$Q$24="Moderado"),CONCATENATE("R",'Mapa DIGSA'!$A$24),"")</f>
        <v/>
      </c>
      <c r="AA6" s="330"/>
      <c r="AB6" s="328" t="str">
        <f>IF(AND('Mapa DIGSA'!$M$12="Muy Alta",'Mapa DIGSA'!$Q$12="Mayor"),CONCATENATE("R",'Mapa DIGSA'!$A$12),"")</f>
        <v/>
      </c>
      <c r="AC6" s="329"/>
      <c r="AD6" s="329" t="str">
        <f>IF(AND('Mapa DIGSA'!$M$18="Muy Alta",'Mapa DIGSA'!$Q$18="Mayor"),CONCATENATE("R",'Mapa DIGSA'!$A$18),"")</f>
        <v/>
      </c>
      <c r="AE6" s="329"/>
      <c r="AF6" s="329" t="str">
        <f>IF(AND('Mapa DIGSA'!$M$24="Muy Alta",'Mapa DIGSA'!$Q$24="Mayor"),CONCATENATE("R",'Mapa DIGSA'!$A$24),"")</f>
        <v/>
      </c>
      <c r="AG6" s="330"/>
      <c r="AH6" s="318" t="str">
        <f>IF(AND('Mapa DIGSA'!$M$12="Muy Alta",'Mapa DIGSA'!$Q$12="Catastrófico"),CONCATENATE("R",'Mapa DIGSA'!$A$12),"")</f>
        <v/>
      </c>
      <c r="AI6" s="319"/>
      <c r="AJ6" s="319" t="str">
        <f>IF(AND('Mapa DIGSA'!$M$18="Muy Alta",'Mapa DIGSA'!$Q$18="Catastrófico"),CONCATENATE("R",'Mapa DIGSA'!$A$18),"")</f>
        <v/>
      </c>
      <c r="AK6" s="319"/>
      <c r="AL6" s="319" t="str">
        <f>IF(AND('Mapa DIGSA'!$M$24="Muy Alta",'Mapa DIGSA'!$Q$24="Catastrófico"),CONCATENATE("R",'Mapa DIGSA'!$A$24),"")</f>
        <v>R3</v>
      </c>
      <c r="AM6" s="320"/>
      <c r="AO6" s="345" t="s">
        <v>73</v>
      </c>
      <c r="AP6" s="346"/>
      <c r="AQ6" s="346"/>
      <c r="AR6" s="346"/>
      <c r="AS6" s="346"/>
      <c r="AT6" s="347"/>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row>
    <row r="7" spans="1:99" ht="15" customHeight="1" x14ac:dyDescent="0.2">
      <c r="A7" s="10"/>
      <c r="B7" s="343"/>
      <c r="C7" s="343"/>
      <c r="D7" s="344"/>
      <c r="E7" s="335"/>
      <c r="F7" s="336"/>
      <c r="G7" s="336"/>
      <c r="H7" s="336"/>
      <c r="I7" s="337"/>
      <c r="J7" s="321"/>
      <c r="K7" s="322"/>
      <c r="L7" s="322"/>
      <c r="M7" s="322"/>
      <c r="N7" s="322"/>
      <c r="O7" s="324"/>
      <c r="P7" s="321"/>
      <c r="Q7" s="322"/>
      <c r="R7" s="322"/>
      <c r="S7" s="322"/>
      <c r="T7" s="322"/>
      <c r="U7" s="324"/>
      <c r="V7" s="321"/>
      <c r="W7" s="322"/>
      <c r="X7" s="322"/>
      <c r="Y7" s="322"/>
      <c r="Z7" s="322"/>
      <c r="AA7" s="324"/>
      <c r="AB7" s="321"/>
      <c r="AC7" s="322"/>
      <c r="AD7" s="322"/>
      <c r="AE7" s="322"/>
      <c r="AF7" s="322"/>
      <c r="AG7" s="324"/>
      <c r="AH7" s="312"/>
      <c r="AI7" s="313"/>
      <c r="AJ7" s="313"/>
      <c r="AK7" s="313"/>
      <c r="AL7" s="313"/>
      <c r="AM7" s="314"/>
      <c r="AN7" s="10"/>
      <c r="AO7" s="348"/>
      <c r="AP7" s="349"/>
      <c r="AQ7" s="349"/>
      <c r="AR7" s="349"/>
      <c r="AS7" s="349"/>
      <c r="AT7" s="350"/>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c r="BY7" s="10"/>
      <c r="BZ7" s="10"/>
      <c r="CA7" s="10"/>
      <c r="CB7" s="10"/>
    </row>
    <row r="8" spans="1:99" ht="15" customHeight="1" x14ac:dyDescent="0.2">
      <c r="A8" s="10"/>
      <c r="B8" s="343"/>
      <c r="C8" s="343"/>
      <c r="D8" s="344"/>
      <c r="E8" s="335"/>
      <c r="F8" s="336"/>
      <c r="G8" s="336"/>
      <c r="H8" s="336"/>
      <c r="I8" s="337"/>
      <c r="J8" s="321" t="str">
        <f>IF(AND('Mapa DIGSA'!$M$30="Muy Alta",'Mapa DIGSA'!$Q$30="Leve"),CONCATENATE("R",'Mapa DIGSA'!$A$30),"")</f>
        <v/>
      </c>
      <c r="K8" s="322"/>
      <c r="L8" s="323" t="str">
        <f>IF(AND('Mapa DIGSA'!$M$36="Muy Alta",'Mapa DIGSA'!$Q$36="Leve"),CONCATENATE("R",'Mapa DIGSA'!$A$36),"")</f>
        <v/>
      </c>
      <c r="M8" s="323"/>
      <c r="N8" s="323" t="str">
        <f>IF(AND('Mapa DIGSA'!$M$42="Muy Alta",'Mapa DIGSA'!$Q$42="Leve"),CONCATENATE("R",'Mapa DIGSA'!$A$42),"")</f>
        <v/>
      </c>
      <c r="O8" s="324"/>
      <c r="P8" s="321" t="str">
        <f>IF(AND('Mapa DIGSA'!$M$30="Muy Alta",'Mapa DIGSA'!$Q$30="Menor"),CONCATENATE("R",'Mapa DIGSA'!$A$30),"")</f>
        <v/>
      </c>
      <c r="Q8" s="322"/>
      <c r="R8" s="323" t="str">
        <f>IF(AND('Mapa DIGSA'!$M$36="Muy Alta",'Mapa DIGSA'!$Q$36="Menor"),CONCATENATE("R",'Mapa DIGSA'!$A$36),"")</f>
        <v/>
      </c>
      <c r="S8" s="323"/>
      <c r="T8" s="323" t="str">
        <f>IF(AND('Mapa DIGSA'!$M$42="Muy Alta",'Mapa DIGSA'!$Q$42="Menor"),CONCATENATE("R",'Mapa DIGSA'!$A$42),"")</f>
        <v/>
      </c>
      <c r="U8" s="324"/>
      <c r="V8" s="321" t="str">
        <f>IF(AND('Mapa DIGSA'!$M$30="Muy Alta",'Mapa DIGSA'!$Q$30="Moderado"),CONCATENATE("R",'Mapa DIGSA'!$A$30),"")</f>
        <v/>
      </c>
      <c r="W8" s="322"/>
      <c r="X8" s="323" t="str">
        <f>IF(AND('Mapa DIGSA'!$M$36="Muy Alta",'Mapa DIGSA'!$Q$36="Moderado"),CONCATENATE("R",'Mapa DIGSA'!$A$36),"")</f>
        <v/>
      </c>
      <c r="Y8" s="323"/>
      <c r="Z8" s="323" t="str">
        <f>IF(AND('Mapa DIGSA'!$M$42="Muy Alta",'Mapa DIGSA'!$Q$42="Moderado"),CONCATENATE("R",'Mapa DIGSA'!$A$42),"")</f>
        <v/>
      </c>
      <c r="AA8" s="324"/>
      <c r="AB8" s="321" t="str">
        <f>IF(AND('Mapa DIGSA'!$M$30="Muy Alta",'Mapa DIGSA'!$Q$30="Mayor"),CONCATENATE("R",'Mapa DIGSA'!$A$30),"")</f>
        <v/>
      </c>
      <c r="AC8" s="322"/>
      <c r="AD8" s="323" t="str">
        <f>IF(AND('Mapa DIGSA'!$M$36="Muy Alta",'Mapa DIGSA'!$Q$36="Mayor"),CONCATENATE("R",'Mapa DIGSA'!$A$36),"")</f>
        <v/>
      </c>
      <c r="AE8" s="323"/>
      <c r="AF8" s="323" t="str">
        <f>IF(AND('Mapa DIGSA'!$M$42="Muy Alta",'Mapa DIGSA'!$Q$42="Mayor"),CONCATENATE("R",'Mapa DIGSA'!$A$42),"")</f>
        <v/>
      </c>
      <c r="AG8" s="324"/>
      <c r="AH8" s="312" t="str">
        <f>IF(AND('Mapa DIGSA'!$M$30="Muy Alta",'Mapa DIGSA'!$Q$30="Catastrófico"),CONCATENATE("R",'Mapa DIGSA'!$A$30),"")</f>
        <v/>
      </c>
      <c r="AI8" s="313"/>
      <c r="AJ8" s="313" t="str">
        <f>IF(AND('Mapa DIGSA'!$M$36="Muy Alta",'Mapa DIGSA'!$Q$36="Catastrófico"),CONCATENATE("R",'Mapa DIGSA'!$A$36),"")</f>
        <v/>
      </c>
      <c r="AK8" s="313"/>
      <c r="AL8" s="313" t="str">
        <f>IF(AND('Mapa DIGSA'!$M$42="Muy Alta",'Mapa DIGSA'!$Q$42="Catastrófico"),CONCATENATE("R",'Mapa DIGSA'!$A$42),"")</f>
        <v/>
      </c>
      <c r="AM8" s="314"/>
      <c r="AN8" s="10"/>
      <c r="AO8" s="348"/>
      <c r="AP8" s="349"/>
      <c r="AQ8" s="349"/>
      <c r="AR8" s="349"/>
      <c r="AS8" s="349"/>
      <c r="AT8" s="35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row>
    <row r="9" spans="1:99" ht="15" customHeight="1" x14ac:dyDescent="0.2">
      <c r="A9" s="10"/>
      <c r="B9" s="343"/>
      <c r="C9" s="343"/>
      <c r="D9" s="344"/>
      <c r="E9" s="335"/>
      <c r="F9" s="336"/>
      <c r="G9" s="336"/>
      <c r="H9" s="336"/>
      <c r="I9" s="337"/>
      <c r="J9" s="321"/>
      <c r="K9" s="322"/>
      <c r="L9" s="323"/>
      <c r="M9" s="323"/>
      <c r="N9" s="323"/>
      <c r="O9" s="324"/>
      <c r="P9" s="321"/>
      <c r="Q9" s="322"/>
      <c r="R9" s="323"/>
      <c r="S9" s="323"/>
      <c r="T9" s="323"/>
      <c r="U9" s="324"/>
      <c r="V9" s="321"/>
      <c r="W9" s="322"/>
      <c r="X9" s="323"/>
      <c r="Y9" s="323"/>
      <c r="Z9" s="323"/>
      <c r="AA9" s="324"/>
      <c r="AB9" s="321"/>
      <c r="AC9" s="322"/>
      <c r="AD9" s="323"/>
      <c r="AE9" s="323"/>
      <c r="AF9" s="323"/>
      <c r="AG9" s="324"/>
      <c r="AH9" s="312"/>
      <c r="AI9" s="313"/>
      <c r="AJ9" s="313"/>
      <c r="AK9" s="313"/>
      <c r="AL9" s="313"/>
      <c r="AM9" s="314"/>
      <c r="AN9" s="10"/>
      <c r="AO9" s="348"/>
      <c r="AP9" s="349"/>
      <c r="AQ9" s="349"/>
      <c r="AR9" s="349"/>
      <c r="AS9" s="349"/>
      <c r="AT9" s="35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row>
    <row r="10" spans="1:99" ht="15" customHeight="1" x14ac:dyDescent="0.2">
      <c r="A10" s="10"/>
      <c r="B10" s="343"/>
      <c r="C10" s="343"/>
      <c r="D10" s="344"/>
      <c r="E10" s="335"/>
      <c r="F10" s="336"/>
      <c r="G10" s="336"/>
      <c r="H10" s="336"/>
      <c r="I10" s="337"/>
      <c r="J10" s="321" t="str">
        <f>IF(AND('Mapa DIGSA'!$M$48="Muy Alta",'Mapa DIGSA'!$Q$48="Leve"),CONCATENATE("R",'Mapa DIGSA'!$A$48),"")</f>
        <v/>
      </c>
      <c r="K10" s="322"/>
      <c r="L10" s="323" t="str">
        <f>IF(AND('Mapa DIGSA'!$M$54="Muy Alta",'Mapa DIGSA'!$Q$54="Leve"),CONCATENATE("R",'Mapa DIGSA'!$A$54),"")</f>
        <v/>
      </c>
      <c r="M10" s="323"/>
      <c r="N10" s="323" t="str">
        <f>IF(AND('Mapa DIGSA'!$M$60="Muy Alta",'Mapa DIGSA'!$Q$60="Leve"),CONCATENATE("R",'Mapa DIGSA'!$A$60),"")</f>
        <v/>
      </c>
      <c r="O10" s="324"/>
      <c r="P10" s="321" t="str">
        <f>IF(AND('Mapa DIGSA'!$M$48="Muy Alta",'Mapa DIGSA'!$Q$48="Menor"),CONCATENATE("R",'Mapa DIGSA'!$A$48),"")</f>
        <v/>
      </c>
      <c r="Q10" s="322"/>
      <c r="R10" s="323" t="str">
        <f>IF(AND('Mapa DIGSA'!$M$54="Muy Alta",'Mapa DIGSA'!$Q$54="Menor"),CONCATENATE("R",'Mapa DIGSA'!$A$54),"")</f>
        <v/>
      </c>
      <c r="S10" s="323"/>
      <c r="T10" s="323" t="str">
        <f>IF(AND('Mapa DIGSA'!$M$60="Muy Alta",'Mapa DIGSA'!$Q$60="Menor"),CONCATENATE("R",'Mapa DIGSA'!$A$60),"")</f>
        <v/>
      </c>
      <c r="U10" s="324"/>
      <c r="V10" s="321" t="str">
        <f>IF(AND('Mapa DIGSA'!$M$48="Muy Alta",'Mapa DIGSA'!$Q$48="Moderado"),CONCATENATE("R",'Mapa DIGSA'!$A$48),"")</f>
        <v/>
      </c>
      <c r="W10" s="322"/>
      <c r="X10" s="323" t="str">
        <f>IF(AND('Mapa DIGSA'!$M$54="Muy Alta",'Mapa DIGSA'!$Q$54="Moderado"),CONCATENATE("R",'Mapa DIGSA'!$A$54),"")</f>
        <v/>
      </c>
      <c r="Y10" s="323"/>
      <c r="Z10" s="323" t="str">
        <f>IF(AND('Mapa DIGSA'!$M$60="Muy Alta",'Mapa DIGSA'!$Q$60="Moderado"),CONCATENATE("R",'Mapa DIGSA'!$A$60),"")</f>
        <v/>
      </c>
      <c r="AA10" s="324"/>
      <c r="AB10" s="321" t="str">
        <f>IF(AND('Mapa DIGSA'!$M$48="Muy Alta",'Mapa DIGSA'!$Q$48="Mayor"),CONCATENATE("R",'Mapa DIGSA'!$A$48),"")</f>
        <v/>
      </c>
      <c r="AC10" s="322"/>
      <c r="AD10" s="323" t="str">
        <f>IF(AND('Mapa DIGSA'!$M$54="Muy Alta",'Mapa DIGSA'!$Q$54="Mayor"),CONCATENATE("R",'Mapa DIGSA'!$A$54),"")</f>
        <v/>
      </c>
      <c r="AE10" s="323"/>
      <c r="AF10" s="323" t="str">
        <f>IF(AND('Mapa DIGSA'!$M$60="Muy Alta",'Mapa DIGSA'!$Q$60="Mayor"),CONCATENATE("R",'Mapa DIGSA'!$A$60),"")</f>
        <v/>
      </c>
      <c r="AG10" s="324"/>
      <c r="AH10" s="312" t="str">
        <f>IF(AND('Mapa DIGSA'!$M$48="Muy Alta",'Mapa DIGSA'!$Q$48="Catastrófico"),CONCATENATE("R",'Mapa DIGSA'!$A$48),"")</f>
        <v/>
      </c>
      <c r="AI10" s="313"/>
      <c r="AJ10" s="313" t="str">
        <f>IF(AND('Mapa DIGSA'!$M$54="Muy Alta",'Mapa DIGSA'!$Q$54="Catastrófico"),CONCATENATE("R",'Mapa DIGSA'!$A$54),"")</f>
        <v/>
      </c>
      <c r="AK10" s="313"/>
      <c r="AL10" s="313" t="str">
        <f>IF(AND('Mapa DIGSA'!$M$60="Muy Alta",'Mapa DIGSA'!$Q$60="Catastrófico"),CONCATENATE("R",'Mapa DIGSA'!$A$60),"")</f>
        <v/>
      </c>
      <c r="AM10" s="314"/>
      <c r="AN10" s="10"/>
      <c r="AO10" s="348"/>
      <c r="AP10" s="349"/>
      <c r="AQ10" s="349"/>
      <c r="AR10" s="349"/>
      <c r="AS10" s="349"/>
      <c r="AT10" s="35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row>
    <row r="11" spans="1:99" ht="15" customHeight="1" x14ac:dyDescent="0.2">
      <c r="A11" s="10"/>
      <c r="B11" s="343"/>
      <c r="C11" s="343"/>
      <c r="D11" s="344"/>
      <c r="E11" s="335"/>
      <c r="F11" s="336"/>
      <c r="G11" s="336"/>
      <c r="H11" s="336"/>
      <c r="I11" s="337"/>
      <c r="J11" s="321"/>
      <c r="K11" s="322"/>
      <c r="L11" s="323"/>
      <c r="M11" s="323"/>
      <c r="N11" s="323"/>
      <c r="O11" s="324"/>
      <c r="P11" s="321"/>
      <c r="Q11" s="322"/>
      <c r="R11" s="323"/>
      <c r="S11" s="323"/>
      <c r="T11" s="323"/>
      <c r="U11" s="324"/>
      <c r="V11" s="321"/>
      <c r="W11" s="322"/>
      <c r="X11" s="323"/>
      <c r="Y11" s="323"/>
      <c r="Z11" s="323"/>
      <c r="AA11" s="324"/>
      <c r="AB11" s="321"/>
      <c r="AC11" s="322"/>
      <c r="AD11" s="323"/>
      <c r="AE11" s="323"/>
      <c r="AF11" s="323"/>
      <c r="AG11" s="324"/>
      <c r="AH11" s="312"/>
      <c r="AI11" s="313"/>
      <c r="AJ11" s="313"/>
      <c r="AK11" s="313"/>
      <c r="AL11" s="313"/>
      <c r="AM11" s="314"/>
      <c r="AN11" s="10"/>
      <c r="AO11" s="348"/>
      <c r="AP11" s="349"/>
      <c r="AQ11" s="349"/>
      <c r="AR11" s="349"/>
      <c r="AS11" s="349"/>
      <c r="AT11" s="35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row>
    <row r="12" spans="1:99" ht="15" customHeight="1" x14ac:dyDescent="0.2">
      <c r="A12" s="10"/>
      <c r="B12" s="343"/>
      <c r="C12" s="343"/>
      <c r="D12" s="344"/>
      <c r="E12" s="335"/>
      <c r="F12" s="336"/>
      <c r="G12" s="336"/>
      <c r="H12" s="336"/>
      <c r="I12" s="337"/>
      <c r="J12" s="321" t="str">
        <f>IF(AND('Mapa DIGSA'!$M$66="Muy Alta",'Mapa DIGSA'!$Q$66="Leve"),CONCATENATE("R",'Mapa DIGSA'!$A$66),"")</f>
        <v/>
      </c>
      <c r="K12" s="322"/>
      <c r="L12" s="323" t="e">
        <f>IF(AND('Mapa DIGSA'!#REF!="Muy Alta",'Mapa DIGSA'!#REF!="Leve"),CONCATENATE("R",'Mapa DIGSA'!#REF!),"")</f>
        <v>#REF!</v>
      </c>
      <c r="M12" s="323"/>
      <c r="N12" s="323" t="e">
        <f>IF(AND('Mapa DIGSA'!#REF!="Muy Alta",'Mapa DIGSA'!#REF!="Leve"),CONCATENATE("R",'Mapa DIGSA'!#REF!),"")</f>
        <v>#REF!</v>
      </c>
      <c r="O12" s="324"/>
      <c r="P12" s="321" t="str">
        <f>IF(AND('Mapa DIGSA'!$M$66="Muy Alta",'Mapa DIGSA'!$Q$66="Menor"),CONCATENATE("R",'Mapa DIGSA'!$A$66),"")</f>
        <v/>
      </c>
      <c r="Q12" s="322"/>
      <c r="R12" s="323" t="e">
        <f>IF(AND('Mapa DIGSA'!#REF!="Muy Alta",'Mapa DIGSA'!#REF!="Menor"),CONCATENATE("R",'Mapa DIGSA'!#REF!),"")</f>
        <v>#REF!</v>
      </c>
      <c r="S12" s="323"/>
      <c r="T12" s="323" t="e">
        <f>IF(AND('Mapa DIGSA'!#REF!="Muy Alta",'Mapa DIGSA'!#REF!="Menor"),CONCATENATE("R",'Mapa DIGSA'!#REF!),"")</f>
        <v>#REF!</v>
      </c>
      <c r="U12" s="324"/>
      <c r="V12" s="321" t="str">
        <f>IF(AND('Mapa DIGSA'!$M$66="Muy Alta",'Mapa DIGSA'!$Q$66="Moderado"),CONCATENATE("R",'Mapa DIGSA'!$A$66),"")</f>
        <v/>
      </c>
      <c r="W12" s="322"/>
      <c r="X12" s="323" t="e">
        <f>IF(AND('Mapa DIGSA'!#REF!="Muy Alta",'Mapa DIGSA'!#REF!="Moderado"),CONCATENATE("R",'Mapa DIGSA'!#REF!),"")</f>
        <v>#REF!</v>
      </c>
      <c r="Y12" s="323"/>
      <c r="Z12" s="323" t="e">
        <f>IF(AND('Mapa DIGSA'!#REF!="Muy Alta",'Mapa DIGSA'!#REF!="Moderado"),CONCATENATE("R",'Mapa DIGSA'!#REF!),"")</f>
        <v>#REF!</v>
      </c>
      <c r="AA12" s="324"/>
      <c r="AB12" s="321" t="str">
        <f>IF(AND('Mapa DIGSA'!$M$66="Muy Alta",'Mapa DIGSA'!$Q$66="Mayor"),CONCATENATE("R",'Mapa DIGSA'!$A$66),"")</f>
        <v/>
      </c>
      <c r="AC12" s="322"/>
      <c r="AD12" s="323" t="e">
        <f>IF(AND('Mapa DIGSA'!#REF!="Muy Alta",'Mapa DIGSA'!#REF!="Mayor"),CONCATENATE("R",'Mapa DIGSA'!#REF!),"")</f>
        <v>#REF!</v>
      </c>
      <c r="AE12" s="323"/>
      <c r="AF12" s="323" t="e">
        <f>IF(AND('Mapa DIGSA'!#REF!="Muy Alta",'Mapa DIGSA'!#REF!="Mayor"),CONCATENATE("R",'Mapa DIGSA'!#REF!),"")</f>
        <v>#REF!</v>
      </c>
      <c r="AG12" s="324"/>
      <c r="AH12" s="312" t="str">
        <f>IF(AND('Mapa DIGSA'!$M$66="Muy Alta",'Mapa DIGSA'!$Q$66="Catastrófico"),CONCATENATE("R",'Mapa DIGSA'!$A$66),"")</f>
        <v/>
      </c>
      <c r="AI12" s="313"/>
      <c r="AJ12" s="313" t="e">
        <f>IF(AND('Mapa DIGSA'!#REF!="Muy Alta",'Mapa DIGSA'!#REF!="Catastrófico"),CONCATENATE("R",'Mapa DIGSA'!#REF!),"")</f>
        <v>#REF!</v>
      </c>
      <c r="AK12" s="313"/>
      <c r="AL12" s="313" t="e">
        <f>IF(AND('Mapa DIGSA'!#REF!="Muy Alta",'Mapa DIGSA'!#REF!="Catastrófico"),CONCATENATE("R",'Mapa DIGSA'!#REF!),"")</f>
        <v>#REF!</v>
      </c>
      <c r="AM12" s="314"/>
      <c r="AN12" s="10"/>
      <c r="AO12" s="348"/>
      <c r="AP12" s="349"/>
      <c r="AQ12" s="349"/>
      <c r="AR12" s="349"/>
      <c r="AS12" s="349"/>
      <c r="AT12" s="35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row>
    <row r="13" spans="1:99" ht="15.75" customHeight="1" thickBot="1" x14ac:dyDescent="0.25">
      <c r="A13" s="10"/>
      <c r="B13" s="343"/>
      <c r="C13" s="343"/>
      <c r="D13" s="344"/>
      <c r="E13" s="338"/>
      <c r="F13" s="339"/>
      <c r="G13" s="339"/>
      <c r="H13" s="339"/>
      <c r="I13" s="340"/>
      <c r="J13" s="321"/>
      <c r="K13" s="322"/>
      <c r="L13" s="322"/>
      <c r="M13" s="322"/>
      <c r="N13" s="322"/>
      <c r="O13" s="324"/>
      <c r="P13" s="321"/>
      <c r="Q13" s="322"/>
      <c r="R13" s="322"/>
      <c r="S13" s="322"/>
      <c r="T13" s="322"/>
      <c r="U13" s="324"/>
      <c r="V13" s="321"/>
      <c r="W13" s="322"/>
      <c r="X13" s="322"/>
      <c r="Y13" s="322"/>
      <c r="Z13" s="322"/>
      <c r="AA13" s="324"/>
      <c r="AB13" s="321"/>
      <c r="AC13" s="322"/>
      <c r="AD13" s="322"/>
      <c r="AE13" s="322"/>
      <c r="AF13" s="322"/>
      <c r="AG13" s="324"/>
      <c r="AH13" s="315"/>
      <c r="AI13" s="316"/>
      <c r="AJ13" s="316"/>
      <c r="AK13" s="316"/>
      <c r="AL13" s="316"/>
      <c r="AM13" s="317"/>
      <c r="AN13" s="10"/>
      <c r="AO13" s="351"/>
      <c r="AP13" s="352"/>
      <c r="AQ13" s="352"/>
      <c r="AR13" s="352"/>
      <c r="AS13" s="352"/>
      <c r="AT13" s="353"/>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c r="BY13" s="10"/>
      <c r="BZ13" s="10"/>
      <c r="CA13" s="10"/>
      <c r="CB13" s="10"/>
    </row>
    <row r="14" spans="1:99" ht="15" customHeight="1" x14ac:dyDescent="0.2">
      <c r="A14" s="10"/>
      <c r="B14" s="343"/>
      <c r="C14" s="343"/>
      <c r="D14" s="344"/>
      <c r="E14" s="332" t="s">
        <v>108</v>
      </c>
      <c r="F14" s="333"/>
      <c r="G14" s="333"/>
      <c r="H14" s="333"/>
      <c r="I14" s="333"/>
      <c r="J14" s="309" t="str">
        <f>IF(AND('Mapa DIGSA'!$M$12="Alta",'Mapa DIGSA'!$Q$12="Leve"),CONCATENATE("R",'Mapa DIGSA'!$A$12),"")</f>
        <v/>
      </c>
      <c r="K14" s="310"/>
      <c r="L14" s="310" t="str">
        <f>IF(AND('Mapa DIGSA'!$M$18="Alta",'Mapa DIGSA'!$Q$18="Leve"),CONCATENATE("R",'Mapa DIGSA'!$A$18),"")</f>
        <v/>
      </c>
      <c r="M14" s="310"/>
      <c r="N14" s="310" t="str">
        <f>IF(AND('Mapa DIGSA'!$M$24="Alta",'Mapa DIGSA'!$Q$24="Leve"),CONCATENATE("R",'Mapa DIGSA'!$A$24),"")</f>
        <v/>
      </c>
      <c r="O14" s="311"/>
      <c r="P14" s="309" t="str">
        <f>IF(AND('Mapa DIGSA'!$M$12="Alta",'Mapa DIGSA'!$Q$12="Menor"),CONCATENATE("R",'Mapa DIGSA'!$A$12),"")</f>
        <v/>
      </c>
      <c r="Q14" s="310"/>
      <c r="R14" s="310" t="str">
        <f>IF(AND('Mapa DIGSA'!$M$18="Alta",'Mapa DIGSA'!$Q$18="Menor"),CONCATENATE("R",'Mapa DIGSA'!$A$18),"")</f>
        <v/>
      </c>
      <c r="S14" s="310"/>
      <c r="T14" s="310" t="str">
        <f>IF(AND('Mapa DIGSA'!$M$24="Alta",'Mapa DIGSA'!$Q$24="Menor"),CONCATENATE("R",'Mapa DIGSA'!$A$24),"")</f>
        <v/>
      </c>
      <c r="U14" s="311"/>
      <c r="V14" s="328" t="str">
        <f>IF(AND('Mapa DIGSA'!$M$12="Alta",'Mapa DIGSA'!$Q$12="Moderado"),CONCATENATE("R",'Mapa DIGSA'!$A$12),"")</f>
        <v/>
      </c>
      <c r="W14" s="329"/>
      <c r="X14" s="329" t="str">
        <f>IF(AND('Mapa DIGSA'!$M$18="Alta",'Mapa DIGSA'!$Q$18="Moderado"),CONCATENATE("R",'Mapa DIGSA'!$A$18),"")</f>
        <v/>
      </c>
      <c r="Y14" s="329"/>
      <c r="Z14" s="329" t="str">
        <f>IF(AND('Mapa DIGSA'!$M$24="Alta",'Mapa DIGSA'!$Q$24="Moderado"),CONCATENATE("R",'Mapa DIGSA'!$A$24),"")</f>
        <v/>
      </c>
      <c r="AA14" s="330"/>
      <c r="AB14" s="328" t="str">
        <f>IF(AND('Mapa DIGSA'!$M$12="Alta",'Mapa DIGSA'!$Q$12="Mayor"),CONCATENATE("R",'Mapa DIGSA'!$A$12),"")</f>
        <v/>
      </c>
      <c r="AC14" s="329"/>
      <c r="AD14" s="329" t="str">
        <f>IF(AND('Mapa DIGSA'!$M$18="Alta",'Mapa DIGSA'!$Q$18="Mayor"),CONCATENATE("R",'Mapa DIGSA'!$A$18),"")</f>
        <v/>
      </c>
      <c r="AE14" s="329"/>
      <c r="AF14" s="329" t="str">
        <f>IF(AND('Mapa DIGSA'!$M$24="Alta",'Mapa DIGSA'!$Q$24="Mayor"),CONCATENATE("R",'Mapa DIGSA'!$A$24),"")</f>
        <v/>
      </c>
      <c r="AG14" s="330"/>
      <c r="AH14" s="318" t="str">
        <f>IF(AND('Mapa DIGSA'!$M$12="Alta",'Mapa DIGSA'!$Q$12="Catastrófico"),CONCATENATE("R",'Mapa DIGSA'!$A$12),"")</f>
        <v>R1</v>
      </c>
      <c r="AI14" s="319"/>
      <c r="AJ14" s="319" t="str">
        <f>IF(AND('Mapa DIGSA'!$M$18="Alta",'Mapa DIGSA'!$Q$18="Catastrófico"),CONCATENATE("R",'Mapa DIGSA'!$A$18),"")</f>
        <v>R2</v>
      </c>
      <c r="AK14" s="319"/>
      <c r="AL14" s="319" t="str">
        <f>IF(AND('Mapa DIGSA'!$M$24="Alta",'Mapa DIGSA'!$Q$24="Catastrófico"),CONCATENATE("R",'Mapa DIGSA'!$A$24),"")</f>
        <v/>
      </c>
      <c r="AM14" s="320"/>
      <c r="AN14" s="10"/>
      <c r="AO14" s="354" t="s">
        <v>74</v>
      </c>
      <c r="AP14" s="355"/>
      <c r="AQ14" s="355"/>
      <c r="AR14" s="355"/>
      <c r="AS14" s="355"/>
      <c r="AT14" s="356"/>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row>
    <row r="15" spans="1:99" ht="15" customHeight="1" x14ac:dyDescent="0.2">
      <c r="A15" s="10"/>
      <c r="B15" s="343"/>
      <c r="C15" s="343"/>
      <c r="D15" s="344"/>
      <c r="E15" s="335"/>
      <c r="F15" s="341"/>
      <c r="G15" s="341"/>
      <c r="H15" s="341"/>
      <c r="I15" s="336"/>
      <c r="J15" s="303"/>
      <c r="K15" s="304"/>
      <c r="L15" s="304"/>
      <c r="M15" s="304"/>
      <c r="N15" s="304"/>
      <c r="O15" s="305"/>
      <c r="P15" s="303"/>
      <c r="Q15" s="304"/>
      <c r="R15" s="304"/>
      <c r="S15" s="304"/>
      <c r="T15" s="304"/>
      <c r="U15" s="305"/>
      <c r="V15" s="321"/>
      <c r="W15" s="322"/>
      <c r="X15" s="322"/>
      <c r="Y15" s="322"/>
      <c r="Z15" s="322"/>
      <c r="AA15" s="324"/>
      <c r="AB15" s="321"/>
      <c r="AC15" s="322"/>
      <c r="AD15" s="322"/>
      <c r="AE15" s="322"/>
      <c r="AF15" s="322"/>
      <c r="AG15" s="324"/>
      <c r="AH15" s="312"/>
      <c r="AI15" s="313"/>
      <c r="AJ15" s="313"/>
      <c r="AK15" s="313"/>
      <c r="AL15" s="313"/>
      <c r="AM15" s="314"/>
      <c r="AN15" s="10"/>
      <c r="AO15" s="357"/>
      <c r="AP15" s="358"/>
      <c r="AQ15" s="358"/>
      <c r="AR15" s="358"/>
      <c r="AS15" s="358"/>
      <c r="AT15" s="359"/>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row>
    <row r="16" spans="1:99" ht="15" customHeight="1" x14ac:dyDescent="0.2">
      <c r="A16" s="10"/>
      <c r="B16" s="343"/>
      <c r="C16" s="343"/>
      <c r="D16" s="344"/>
      <c r="E16" s="335"/>
      <c r="F16" s="341"/>
      <c r="G16" s="341"/>
      <c r="H16" s="341"/>
      <c r="I16" s="336"/>
      <c r="J16" s="303" t="str">
        <f>IF(AND('Mapa DIGSA'!$M$30="Alta",'Mapa DIGSA'!$Q$30="Leve"),CONCATENATE("R",'Mapa DIGSA'!$A$30),"")</f>
        <v/>
      </c>
      <c r="K16" s="304"/>
      <c r="L16" s="304" t="str">
        <f>IF(AND('Mapa DIGSA'!$M$36="Alta",'Mapa DIGSA'!$Q$36="Leve"),CONCATENATE("R",'Mapa DIGSA'!$A$36),"")</f>
        <v/>
      </c>
      <c r="M16" s="304"/>
      <c r="N16" s="304" t="str">
        <f>IF(AND('Mapa DIGSA'!$M$42="Alta",'Mapa DIGSA'!$Q$42="Leve"),CONCATENATE("R",'Mapa DIGSA'!$A$42),"")</f>
        <v/>
      </c>
      <c r="O16" s="305"/>
      <c r="P16" s="303" t="str">
        <f>IF(AND('Mapa DIGSA'!$M$30="Alta",'Mapa DIGSA'!$Q$30="Menor"),CONCATENATE("R",'Mapa DIGSA'!$A$30),"")</f>
        <v/>
      </c>
      <c r="Q16" s="304"/>
      <c r="R16" s="304" t="str">
        <f>IF(AND('Mapa DIGSA'!$M$36="Alta",'Mapa DIGSA'!$Q$36="Menor"),CONCATENATE("R",'Mapa DIGSA'!$A$36),"")</f>
        <v/>
      </c>
      <c r="S16" s="304"/>
      <c r="T16" s="304" t="str">
        <f>IF(AND('Mapa DIGSA'!$M$42="Alta",'Mapa DIGSA'!$Q$42="Menor"),CONCATENATE("R",'Mapa DIGSA'!$A$42),"")</f>
        <v/>
      </c>
      <c r="U16" s="305"/>
      <c r="V16" s="321" t="str">
        <f>IF(AND('Mapa DIGSA'!$M$30="Alta",'Mapa DIGSA'!$Q$30="Moderado"),CONCATENATE("R",'Mapa DIGSA'!$A$30),"")</f>
        <v/>
      </c>
      <c r="W16" s="322"/>
      <c r="X16" s="323" t="str">
        <f>IF(AND('Mapa DIGSA'!$M$36="Alta",'Mapa DIGSA'!$Q$36="Moderado"),CONCATENATE("R",'Mapa DIGSA'!$A$36),"")</f>
        <v/>
      </c>
      <c r="Y16" s="323"/>
      <c r="Z16" s="323" t="str">
        <f>IF(AND('Mapa DIGSA'!$M$42="Alta",'Mapa DIGSA'!$Q$42="Moderado"),CONCATENATE("R",'Mapa DIGSA'!$A$42),"")</f>
        <v/>
      </c>
      <c r="AA16" s="324"/>
      <c r="AB16" s="321" t="str">
        <f>IF(AND('Mapa DIGSA'!$M$30="Alta",'Mapa DIGSA'!$Q$30="Mayor"),CONCATENATE("R",'Mapa DIGSA'!$A$30),"")</f>
        <v/>
      </c>
      <c r="AC16" s="322"/>
      <c r="AD16" s="323" t="str">
        <f>IF(AND('Mapa DIGSA'!$M$36="Alta",'Mapa DIGSA'!$Q$36="Mayor"),CONCATENATE("R",'Mapa DIGSA'!$A$36),"")</f>
        <v/>
      </c>
      <c r="AE16" s="323"/>
      <c r="AF16" s="323" t="str">
        <f>IF(AND('Mapa DIGSA'!$M$42="Alta",'Mapa DIGSA'!$Q$42="Mayor"),CONCATENATE("R",'Mapa DIGSA'!$A$42),"")</f>
        <v/>
      </c>
      <c r="AG16" s="324"/>
      <c r="AH16" s="312" t="str">
        <f>IF(AND('Mapa DIGSA'!$M$30="Alta",'Mapa DIGSA'!$Q$30="Catastrófico"),CONCATENATE("R",'Mapa DIGSA'!$A$30),"")</f>
        <v/>
      </c>
      <c r="AI16" s="313"/>
      <c r="AJ16" s="313" t="str">
        <f>IF(AND('Mapa DIGSA'!$M$36="Alta",'Mapa DIGSA'!$Q$36="Catastrófico"),CONCATENATE("R",'Mapa DIGSA'!$A$36),"")</f>
        <v/>
      </c>
      <c r="AK16" s="313"/>
      <c r="AL16" s="313" t="str">
        <f>IF(AND('Mapa DIGSA'!$M$42="Alta",'Mapa DIGSA'!$Q$42="Catastrófico"),CONCATENATE("R",'Mapa DIGSA'!$A$42),"")</f>
        <v/>
      </c>
      <c r="AM16" s="314"/>
      <c r="AN16" s="10"/>
      <c r="AO16" s="357"/>
      <c r="AP16" s="358"/>
      <c r="AQ16" s="358"/>
      <c r="AR16" s="358"/>
      <c r="AS16" s="358"/>
      <c r="AT16" s="359"/>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row>
    <row r="17" spans="1:80" ht="15" customHeight="1" x14ac:dyDescent="0.2">
      <c r="A17" s="10"/>
      <c r="B17" s="343"/>
      <c r="C17" s="343"/>
      <c r="D17" s="344"/>
      <c r="E17" s="335"/>
      <c r="F17" s="341"/>
      <c r="G17" s="341"/>
      <c r="H17" s="341"/>
      <c r="I17" s="336"/>
      <c r="J17" s="303"/>
      <c r="K17" s="304"/>
      <c r="L17" s="304"/>
      <c r="M17" s="304"/>
      <c r="N17" s="304"/>
      <c r="O17" s="305"/>
      <c r="P17" s="303"/>
      <c r="Q17" s="304"/>
      <c r="R17" s="304"/>
      <c r="S17" s="304"/>
      <c r="T17" s="304"/>
      <c r="U17" s="305"/>
      <c r="V17" s="321"/>
      <c r="W17" s="322"/>
      <c r="X17" s="323"/>
      <c r="Y17" s="323"/>
      <c r="Z17" s="323"/>
      <c r="AA17" s="324"/>
      <c r="AB17" s="321"/>
      <c r="AC17" s="322"/>
      <c r="AD17" s="323"/>
      <c r="AE17" s="323"/>
      <c r="AF17" s="323"/>
      <c r="AG17" s="324"/>
      <c r="AH17" s="312"/>
      <c r="AI17" s="313"/>
      <c r="AJ17" s="313"/>
      <c r="AK17" s="313"/>
      <c r="AL17" s="313"/>
      <c r="AM17" s="314"/>
      <c r="AN17" s="10"/>
      <c r="AO17" s="357"/>
      <c r="AP17" s="358"/>
      <c r="AQ17" s="358"/>
      <c r="AR17" s="358"/>
      <c r="AS17" s="358"/>
      <c r="AT17" s="359"/>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row>
    <row r="18" spans="1:80" ht="15" customHeight="1" x14ac:dyDescent="0.2">
      <c r="A18" s="10"/>
      <c r="B18" s="343"/>
      <c r="C18" s="343"/>
      <c r="D18" s="344"/>
      <c r="E18" s="335"/>
      <c r="F18" s="341"/>
      <c r="G18" s="341"/>
      <c r="H18" s="341"/>
      <c r="I18" s="336"/>
      <c r="J18" s="303" t="str">
        <f>IF(AND('Mapa DIGSA'!$M$48="Alta",'Mapa DIGSA'!$Q$48="Leve"),CONCATENATE("R",'Mapa DIGSA'!$A$48),"")</f>
        <v/>
      </c>
      <c r="K18" s="304"/>
      <c r="L18" s="304" t="str">
        <f>IF(AND('Mapa DIGSA'!$M$54="Alta",'Mapa DIGSA'!$Q$54="Leve"),CONCATENATE("R",'Mapa DIGSA'!$A$54),"")</f>
        <v/>
      </c>
      <c r="M18" s="304"/>
      <c r="N18" s="304" t="str">
        <f>IF(AND('Mapa DIGSA'!$M$60="Alta",'Mapa DIGSA'!$Q$60="Leve"),CONCATENATE("R",'Mapa DIGSA'!$A$60),"")</f>
        <v/>
      </c>
      <c r="O18" s="305"/>
      <c r="P18" s="303" t="str">
        <f>IF(AND('Mapa DIGSA'!$M$48="Alta",'Mapa DIGSA'!$Q$48="Menor"),CONCATENATE("R",'Mapa DIGSA'!$A$48),"")</f>
        <v/>
      </c>
      <c r="Q18" s="304"/>
      <c r="R18" s="304" t="str">
        <f>IF(AND('Mapa DIGSA'!$M$54="Alta",'Mapa DIGSA'!$Q$54="Menor"),CONCATENATE("R",'Mapa DIGSA'!$A$54),"")</f>
        <v/>
      </c>
      <c r="S18" s="304"/>
      <c r="T18" s="304" t="str">
        <f>IF(AND('Mapa DIGSA'!$M$60="Alta",'Mapa DIGSA'!$Q$60="Menor"),CONCATENATE("R",'Mapa DIGSA'!$A$60),"")</f>
        <v/>
      </c>
      <c r="U18" s="305"/>
      <c r="V18" s="321" t="str">
        <f>IF(AND('Mapa DIGSA'!$M$48="Alta",'Mapa DIGSA'!$Q$48="Moderado"),CONCATENATE("R",'Mapa DIGSA'!$A$48),"")</f>
        <v/>
      </c>
      <c r="W18" s="322"/>
      <c r="X18" s="323" t="str">
        <f>IF(AND('Mapa DIGSA'!$M$54="Alta",'Mapa DIGSA'!$Q$54="Moderado"),CONCATENATE("R",'Mapa DIGSA'!$A$54),"")</f>
        <v/>
      </c>
      <c r="Y18" s="323"/>
      <c r="Z18" s="323" t="str">
        <f>IF(AND('Mapa DIGSA'!$M$60="Alta",'Mapa DIGSA'!$Q$60="Moderado"),CONCATENATE("R",'Mapa DIGSA'!$A$60),"")</f>
        <v/>
      </c>
      <c r="AA18" s="324"/>
      <c r="AB18" s="321" t="str">
        <f>IF(AND('Mapa DIGSA'!$M$48="Alta",'Mapa DIGSA'!$Q$48="Mayor"),CONCATENATE("R",'Mapa DIGSA'!$A$48),"")</f>
        <v/>
      </c>
      <c r="AC18" s="322"/>
      <c r="AD18" s="323" t="str">
        <f>IF(AND('Mapa DIGSA'!$M$54="Alta",'Mapa DIGSA'!$Q$54="Mayor"),CONCATENATE("R",'Mapa DIGSA'!$A$54),"")</f>
        <v/>
      </c>
      <c r="AE18" s="323"/>
      <c r="AF18" s="323" t="str">
        <f>IF(AND('Mapa DIGSA'!$M$60="Alta",'Mapa DIGSA'!$Q$60="Mayor"),CONCATENATE("R",'Mapa DIGSA'!$A$60),"")</f>
        <v/>
      </c>
      <c r="AG18" s="324"/>
      <c r="AH18" s="312" t="str">
        <f>IF(AND('Mapa DIGSA'!$M$48="Alta",'Mapa DIGSA'!$Q$48="Catastrófico"),CONCATENATE("R",'Mapa DIGSA'!$A$48),"")</f>
        <v/>
      </c>
      <c r="AI18" s="313"/>
      <c r="AJ18" s="313" t="str">
        <f>IF(AND('Mapa DIGSA'!$M$54="Alta",'Mapa DIGSA'!$Q$54="Catastrófico"),CONCATENATE("R",'Mapa DIGSA'!$A$54),"")</f>
        <v>R8</v>
      </c>
      <c r="AK18" s="313"/>
      <c r="AL18" s="313" t="str">
        <f>IF(AND('Mapa DIGSA'!$M$60="Alta",'Mapa DIGSA'!$Q$60="Catastrófico"),CONCATENATE("R",'Mapa DIGSA'!$A$60),"")</f>
        <v/>
      </c>
      <c r="AM18" s="314"/>
      <c r="AN18" s="10"/>
      <c r="AO18" s="357"/>
      <c r="AP18" s="358"/>
      <c r="AQ18" s="358"/>
      <c r="AR18" s="358"/>
      <c r="AS18" s="358"/>
      <c r="AT18" s="359"/>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row>
    <row r="19" spans="1:80" ht="15" customHeight="1" x14ac:dyDescent="0.2">
      <c r="A19" s="10"/>
      <c r="B19" s="343"/>
      <c r="C19" s="343"/>
      <c r="D19" s="344"/>
      <c r="E19" s="335"/>
      <c r="F19" s="341"/>
      <c r="G19" s="341"/>
      <c r="H19" s="341"/>
      <c r="I19" s="336"/>
      <c r="J19" s="303"/>
      <c r="K19" s="304"/>
      <c r="L19" s="304"/>
      <c r="M19" s="304"/>
      <c r="N19" s="304"/>
      <c r="O19" s="305"/>
      <c r="P19" s="303"/>
      <c r="Q19" s="304"/>
      <c r="R19" s="304"/>
      <c r="S19" s="304"/>
      <c r="T19" s="304"/>
      <c r="U19" s="305"/>
      <c r="V19" s="321"/>
      <c r="W19" s="322"/>
      <c r="X19" s="323"/>
      <c r="Y19" s="323"/>
      <c r="Z19" s="323"/>
      <c r="AA19" s="324"/>
      <c r="AB19" s="321"/>
      <c r="AC19" s="322"/>
      <c r="AD19" s="323"/>
      <c r="AE19" s="323"/>
      <c r="AF19" s="323"/>
      <c r="AG19" s="324"/>
      <c r="AH19" s="312"/>
      <c r="AI19" s="313"/>
      <c r="AJ19" s="313"/>
      <c r="AK19" s="313"/>
      <c r="AL19" s="313"/>
      <c r="AM19" s="314"/>
      <c r="AN19" s="10"/>
      <c r="AO19" s="357"/>
      <c r="AP19" s="358"/>
      <c r="AQ19" s="358"/>
      <c r="AR19" s="358"/>
      <c r="AS19" s="358"/>
      <c r="AT19" s="359"/>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c r="BY19" s="10"/>
      <c r="BZ19" s="10"/>
      <c r="CA19" s="10"/>
      <c r="CB19" s="10"/>
    </row>
    <row r="20" spans="1:80" ht="15" customHeight="1" x14ac:dyDescent="0.2">
      <c r="A20" s="10"/>
      <c r="B20" s="343"/>
      <c r="C20" s="343"/>
      <c r="D20" s="344"/>
      <c r="E20" s="335"/>
      <c r="F20" s="341"/>
      <c r="G20" s="341"/>
      <c r="H20" s="341"/>
      <c r="I20" s="336"/>
      <c r="J20" s="303" t="str">
        <f>IF(AND('Mapa DIGSA'!$M$66="Alta",'Mapa DIGSA'!$Q$66="Leve"),CONCATENATE("R",'Mapa DIGSA'!$A$66),"")</f>
        <v/>
      </c>
      <c r="K20" s="304"/>
      <c r="L20" s="304" t="e">
        <f>IF(AND('Mapa DIGSA'!#REF!="Alta",'Mapa DIGSA'!#REF!="Leve"),CONCATENATE("R",'Mapa DIGSA'!#REF!),"")</f>
        <v>#REF!</v>
      </c>
      <c r="M20" s="304"/>
      <c r="N20" s="304" t="e">
        <f>IF(AND('Mapa DIGSA'!#REF!="Alta",'Mapa DIGSA'!#REF!="Leve"),CONCATENATE("R",'Mapa DIGSA'!#REF!),"")</f>
        <v>#REF!</v>
      </c>
      <c r="O20" s="305"/>
      <c r="P20" s="303" t="str">
        <f>IF(AND('Mapa DIGSA'!$M$66="Alta",'Mapa DIGSA'!$Q$66="Menor"),CONCATENATE("R",'Mapa DIGSA'!$A$66),"")</f>
        <v/>
      </c>
      <c r="Q20" s="304"/>
      <c r="R20" s="304" t="e">
        <f>IF(AND('Mapa DIGSA'!#REF!="Alta",'Mapa DIGSA'!#REF!="Menor"),CONCATENATE("R",'Mapa DIGSA'!#REF!),"")</f>
        <v>#REF!</v>
      </c>
      <c r="S20" s="304"/>
      <c r="T20" s="304" t="e">
        <f>IF(AND('Mapa DIGSA'!#REF!="Alta",'Mapa DIGSA'!#REF!="Menor"),CONCATENATE("R",'Mapa DIGSA'!#REF!),"")</f>
        <v>#REF!</v>
      </c>
      <c r="U20" s="305"/>
      <c r="V20" s="321" t="str">
        <f>IF(AND('Mapa DIGSA'!$M$66="Alta",'Mapa DIGSA'!$Q$66="Moderado"),CONCATENATE("R",'Mapa DIGSA'!$A$66),"")</f>
        <v/>
      </c>
      <c r="W20" s="322"/>
      <c r="X20" s="323" t="e">
        <f>IF(AND('Mapa DIGSA'!#REF!="Alta",'Mapa DIGSA'!#REF!="Moderado"),CONCATENATE("R",'Mapa DIGSA'!#REF!),"")</f>
        <v>#REF!</v>
      </c>
      <c r="Y20" s="323"/>
      <c r="Z20" s="323" t="e">
        <f>IF(AND('Mapa DIGSA'!#REF!="Alta",'Mapa DIGSA'!#REF!="Moderado"),CONCATENATE("R",'Mapa DIGSA'!#REF!),"")</f>
        <v>#REF!</v>
      </c>
      <c r="AA20" s="324"/>
      <c r="AB20" s="321" t="str">
        <f>IF(AND('Mapa DIGSA'!$M$66="Alta",'Mapa DIGSA'!$Q$66="Mayor"),CONCATENATE("R",'Mapa DIGSA'!$A$66),"")</f>
        <v/>
      </c>
      <c r="AC20" s="322"/>
      <c r="AD20" s="323" t="e">
        <f>IF(AND('Mapa DIGSA'!#REF!="Alta",'Mapa DIGSA'!#REF!="Mayor"),CONCATENATE("R",'Mapa DIGSA'!#REF!),"")</f>
        <v>#REF!</v>
      </c>
      <c r="AE20" s="323"/>
      <c r="AF20" s="323" t="e">
        <f>IF(AND('Mapa DIGSA'!#REF!="Alta",'Mapa DIGSA'!#REF!="Mayor"),CONCATENATE("R",'Mapa DIGSA'!#REF!),"")</f>
        <v>#REF!</v>
      </c>
      <c r="AG20" s="324"/>
      <c r="AH20" s="312" t="str">
        <f>IF(AND('Mapa DIGSA'!$M$66="Alta",'Mapa DIGSA'!$Q$66="Catastrófico"),CONCATENATE("R",'Mapa DIGSA'!$A$66),"")</f>
        <v>R10</v>
      </c>
      <c r="AI20" s="313"/>
      <c r="AJ20" s="313" t="e">
        <f>IF(AND('Mapa DIGSA'!#REF!="Alta",'Mapa DIGSA'!#REF!="Catastrófico"),CONCATENATE("R",'Mapa DIGSA'!#REF!),"")</f>
        <v>#REF!</v>
      </c>
      <c r="AK20" s="313"/>
      <c r="AL20" s="313" t="e">
        <f>IF(AND('Mapa DIGSA'!#REF!="Alta",'Mapa DIGSA'!#REF!="Catastrófico"),CONCATENATE("R",'Mapa DIGSA'!#REF!),"")</f>
        <v>#REF!</v>
      </c>
      <c r="AM20" s="314"/>
      <c r="AN20" s="10"/>
      <c r="AO20" s="357"/>
      <c r="AP20" s="358"/>
      <c r="AQ20" s="358"/>
      <c r="AR20" s="358"/>
      <c r="AS20" s="358"/>
      <c r="AT20" s="359"/>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c r="BY20" s="10"/>
      <c r="BZ20" s="10"/>
      <c r="CA20" s="10"/>
      <c r="CB20" s="10"/>
    </row>
    <row r="21" spans="1:80" ht="15.75" customHeight="1" thickBot="1" x14ac:dyDescent="0.25">
      <c r="A21" s="10"/>
      <c r="B21" s="343"/>
      <c r="C21" s="343"/>
      <c r="D21" s="344"/>
      <c r="E21" s="338"/>
      <c r="F21" s="339"/>
      <c r="G21" s="339"/>
      <c r="H21" s="339"/>
      <c r="I21" s="339"/>
      <c r="J21" s="306"/>
      <c r="K21" s="307"/>
      <c r="L21" s="307"/>
      <c r="M21" s="307"/>
      <c r="N21" s="307"/>
      <c r="O21" s="308"/>
      <c r="P21" s="306"/>
      <c r="Q21" s="307"/>
      <c r="R21" s="307"/>
      <c r="S21" s="307"/>
      <c r="T21" s="307"/>
      <c r="U21" s="308"/>
      <c r="V21" s="325"/>
      <c r="W21" s="326"/>
      <c r="X21" s="326"/>
      <c r="Y21" s="326"/>
      <c r="Z21" s="326"/>
      <c r="AA21" s="327"/>
      <c r="AB21" s="325"/>
      <c r="AC21" s="326"/>
      <c r="AD21" s="326"/>
      <c r="AE21" s="326"/>
      <c r="AF21" s="326"/>
      <c r="AG21" s="327"/>
      <c r="AH21" s="315"/>
      <c r="AI21" s="316"/>
      <c r="AJ21" s="316"/>
      <c r="AK21" s="316"/>
      <c r="AL21" s="316"/>
      <c r="AM21" s="317"/>
      <c r="AN21" s="10"/>
      <c r="AO21" s="360"/>
      <c r="AP21" s="361"/>
      <c r="AQ21" s="361"/>
      <c r="AR21" s="361"/>
      <c r="AS21" s="361"/>
      <c r="AT21" s="362"/>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c r="BY21" s="10"/>
      <c r="BZ21" s="10"/>
      <c r="CA21" s="10"/>
      <c r="CB21" s="10"/>
    </row>
    <row r="22" spans="1:80" x14ac:dyDescent="0.2">
      <c r="A22" s="10"/>
      <c r="B22" s="343"/>
      <c r="C22" s="343"/>
      <c r="D22" s="344"/>
      <c r="E22" s="332" t="s">
        <v>110</v>
      </c>
      <c r="F22" s="333"/>
      <c r="G22" s="333"/>
      <c r="H22" s="333"/>
      <c r="I22" s="334"/>
      <c r="J22" s="309" t="str">
        <f>IF(AND('Mapa DIGSA'!$M$12="Media",'Mapa DIGSA'!$Q$12="Leve"),CONCATENATE("R",'Mapa DIGSA'!$A$12),"")</f>
        <v/>
      </c>
      <c r="K22" s="310"/>
      <c r="L22" s="310" t="str">
        <f>IF(AND('Mapa DIGSA'!$M$18="Media",'Mapa DIGSA'!$Q$18="Leve"),CONCATENATE("R",'Mapa DIGSA'!$A$18),"")</f>
        <v/>
      </c>
      <c r="M22" s="310"/>
      <c r="N22" s="310" t="str">
        <f>IF(AND('Mapa DIGSA'!$M$24="Media",'Mapa DIGSA'!$Q$24="Leve"),CONCATENATE("R",'Mapa DIGSA'!$A$24),"")</f>
        <v/>
      </c>
      <c r="O22" s="311"/>
      <c r="P22" s="309" t="str">
        <f>IF(AND('Mapa DIGSA'!$M$12="Media",'Mapa DIGSA'!$Q$12="Menor"),CONCATENATE("R",'Mapa DIGSA'!$A$12),"")</f>
        <v/>
      </c>
      <c r="Q22" s="310"/>
      <c r="R22" s="310" t="str">
        <f>IF(AND('Mapa DIGSA'!$M$18="Media",'Mapa DIGSA'!$Q$18="Menor"),CONCATENATE("R",'Mapa DIGSA'!$A$18),"")</f>
        <v/>
      </c>
      <c r="S22" s="310"/>
      <c r="T22" s="310" t="str">
        <f>IF(AND('Mapa DIGSA'!$M$24="Media",'Mapa DIGSA'!$Q$24="Menor"),CONCATENATE("R",'Mapa DIGSA'!$A$24),"")</f>
        <v/>
      </c>
      <c r="U22" s="311"/>
      <c r="V22" s="309" t="str">
        <f>IF(AND('Mapa DIGSA'!$M$12="Media",'Mapa DIGSA'!$Q$12="Moderado"),CONCATENATE("R",'Mapa DIGSA'!$A$12),"")</f>
        <v/>
      </c>
      <c r="W22" s="310"/>
      <c r="X22" s="310" t="str">
        <f>IF(AND('Mapa DIGSA'!$M$18="Media",'Mapa DIGSA'!$Q$18="Moderado"),CONCATENATE("R",'Mapa DIGSA'!$A$18),"")</f>
        <v/>
      </c>
      <c r="Y22" s="310"/>
      <c r="Z22" s="310" t="str">
        <f>IF(AND('Mapa DIGSA'!$M$24="Media",'Mapa DIGSA'!$Q$24="Moderado"),CONCATENATE("R",'Mapa DIGSA'!$A$24),"")</f>
        <v/>
      </c>
      <c r="AA22" s="311"/>
      <c r="AB22" s="328" t="str">
        <f>IF(AND('Mapa DIGSA'!$M$12="Media",'Mapa DIGSA'!$Q$12="Mayor"),CONCATENATE("R",'Mapa DIGSA'!$A$12),"")</f>
        <v/>
      </c>
      <c r="AC22" s="329"/>
      <c r="AD22" s="329" t="str">
        <f>IF(AND('Mapa DIGSA'!$M$18="Media",'Mapa DIGSA'!$Q$18="Mayor"),CONCATENATE("R",'Mapa DIGSA'!$A$18),"")</f>
        <v/>
      </c>
      <c r="AE22" s="329"/>
      <c r="AF22" s="329" t="str">
        <f>IF(AND('Mapa DIGSA'!$M$24="Media",'Mapa DIGSA'!$Q$24="Mayor"),CONCATENATE("R",'Mapa DIGSA'!$A$24),"")</f>
        <v/>
      </c>
      <c r="AG22" s="330"/>
      <c r="AH22" s="318" t="str">
        <f>IF(AND('Mapa DIGSA'!$M$12="Media",'Mapa DIGSA'!$Q$12="Catastrófico"),CONCATENATE("R",'Mapa DIGSA'!$A$12),"")</f>
        <v/>
      </c>
      <c r="AI22" s="319"/>
      <c r="AJ22" s="319" t="str">
        <f>IF(AND('Mapa DIGSA'!$M$18="Media",'Mapa DIGSA'!$Q$18="Catastrófico"),CONCATENATE("R",'Mapa DIGSA'!$A$18),"")</f>
        <v/>
      </c>
      <c r="AK22" s="319"/>
      <c r="AL22" s="319" t="str">
        <f>IF(AND('Mapa DIGSA'!$M$24="Media",'Mapa DIGSA'!$Q$24="Catastrófico"),CONCATENATE("R",'Mapa DIGSA'!$A$24),"")</f>
        <v/>
      </c>
      <c r="AM22" s="320"/>
      <c r="AN22" s="10"/>
      <c r="AO22" s="363" t="s">
        <v>75</v>
      </c>
      <c r="AP22" s="364"/>
      <c r="AQ22" s="364"/>
      <c r="AR22" s="364"/>
      <c r="AS22" s="364"/>
      <c r="AT22" s="365"/>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c r="BY22" s="10"/>
      <c r="BZ22" s="10"/>
      <c r="CA22" s="10"/>
      <c r="CB22" s="10"/>
    </row>
    <row r="23" spans="1:80" x14ac:dyDescent="0.2">
      <c r="A23" s="10"/>
      <c r="B23" s="343"/>
      <c r="C23" s="343"/>
      <c r="D23" s="344"/>
      <c r="E23" s="335"/>
      <c r="F23" s="341"/>
      <c r="G23" s="341"/>
      <c r="H23" s="341"/>
      <c r="I23" s="337"/>
      <c r="J23" s="303"/>
      <c r="K23" s="304"/>
      <c r="L23" s="304"/>
      <c r="M23" s="304"/>
      <c r="N23" s="304"/>
      <c r="O23" s="305"/>
      <c r="P23" s="303"/>
      <c r="Q23" s="304"/>
      <c r="R23" s="304"/>
      <c r="S23" s="304"/>
      <c r="T23" s="304"/>
      <c r="U23" s="305"/>
      <c r="V23" s="303"/>
      <c r="W23" s="304"/>
      <c r="X23" s="304"/>
      <c r="Y23" s="304"/>
      <c r="Z23" s="304"/>
      <c r="AA23" s="305"/>
      <c r="AB23" s="321"/>
      <c r="AC23" s="322"/>
      <c r="AD23" s="322"/>
      <c r="AE23" s="322"/>
      <c r="AF23" s="322"/>
      <c r="AG23" s="324"/>
      <c r="AH23" s="312"/>
      <c r="AI23" s="313"/>
      <c r="AJ23" s="313"/>
      <c r="AK23" s="313"/>
      <c r="AL23" s="313"/>
      <c r="AM23" s="314"/>
      <c r="AN23" s="10"/>
      <c r="AO23" s="366"/>
      <c r="AP23" s="367"/>
      <c r="AQ23" s="367"/>
      <c r="AR23" s="367"/>
      <c r="AS23" s="367"/>
      <c r="AT23" s="368"/>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c r="BY23" s="10"/>
      <c r="BZ23" s="10"/>
      <c r="CA23" s="10"/>
      <c r="CB23" s="10"/>
    </row>
    <row r="24" spans="1:80" x14ac:dyDescent="0.2">
      <c r="A24" s="10"/>
      <c r="B24" s="343"/>
      <c r="C24" s="343"/>
      <c r="D24" s="344"/>
      <c r="E24" s="335"/>
      <c r="F24" s="341"/>
      <c r="G24" s="341"/>
      <c r="H24" s="341"/>
      <c r="I24" s="337"/>
      <c r="J24" s="303" t="str">
        <f>IF(AND('Mapa DIGSA'!$M$30="Media",'Mapa DIGSA'!$Q$30="Leve"),CONCATENATE("R",'Mapa DIGSA'!$A$30),"")</f>
        <v/>
      </c>
      <c r="K24" s="304"/>
      <c r="L24" s="304" t="str">
        <f>IF(AND('Mapa DIGSA'!$M$36="Media",'Mapa DIGSA'!$Q$36="Leve"),CONCATENATE("R",'Mapa DIGSA'!$A$36),"")</f>
        <v/>
      </c>
      <c r="M24" s="304"/>
      <c r="N24" s="304" t="str">
        <f>IF(AND('Mapa DIGSA'!$M$42="Media",'Mapa DIGSA'!$Q$42="Leve"),CONCATENATE("R",'Mapa DIGSA'!$A$42),"")</f>
        <v/>
      </c>
      <c r="O24" s="305"/>
      <c r="P24" s="303" t="str">
        <f>IF(AND('Mapa DIGSA'!$M$30="Media",'Mapa DIGSA'!$Q$30="Menor"),CONCATENATE("R",'Mapa DIGSA'!$A$30),"")</f>
        <v/>
      </c>
      <c r="Q24" s="304"/>
      <c r="R24" s="304" t="str">
        <f>IF(AND('Mapa DIGSA'!$M$36="Media",'Mapa DIGSA'!$Q$36="Menor"),CONCATENATE("R",'Mapa DIGSA'!$A$36),"")</f>
        <v/>
      </c>
      <c r="S24" s="304"/>
      <c r="T24" s="304" t="str">
        <f>IF(AND('Mapa DIGSA'!$M$42="Media",'Mapa DIGSA'!$Q$42="Menor"),CONCATENATE("R",'Mapa DIGSA'!$A$42),"")</f>
        <v/>
      </c>
      <c r="U24" s="305"/>
      <c r="V24" s="303" t="str">
        <f>IF(AND('Mapa DIGSA'!$M$30="Media",'Mapa DIGSA'!$Q$30="Moderado"),CONCATENATE("R",'Mapa DIGSA'!$A$30),"")</f>
        <v/>
      </c>
      <c r="W24" s="304"/>
      <c r="X24" s="304" t="str">
        <f>IF(AND('Mapa DIGSA'!$M$36="Media",'Mapa DIGSA'!$Q$36="Moderado"),CONCATENATE("R",'Mapa DIGSA'!$A$36),"")</f>
        <v>R5</v>
      </c>
      <c r="Y24" s="304"/>
      <c r="Z24" s="304" t="str">
        <f>IF(AND('Mapa DIGSA'!$M$42="Media",'Mapa DIGSA'!$Q$42="Moderado"),CONCATENATE("R",'Mapa DIGSA'!$A$42),"")</f>
        <v/>
      </c>
      <c r="AA24" s="305"/>
      <c r="AB24" s="321" t="str">
        <f>IF(AND('Mapa DIGSA'!$M$30="Media",'Mapa DIGSA'!$Q$30="Mayor"),CONCATENATE("R",'Mapa DIGSA'!$A$30),"")</f>
        <v>R4</v>
      </c>
      <c r="AC24" s="322"/>
      <c r="AD24" s="323" t="str">
        <f>IF(AND('Mapa DIGSA'!$M$36="Media",'Mapa DIGSA'!$Q$36="Mayor"),CONCATENATE("R",'Mapa DIGSA'!$A$36),"")</f>
        <v/>
      </c>
      <c r="AE24" s="323"/>
      <c r="AF24" s="323" t="str">
        <f>IF(AND('Mapa DIGSA'!$M$42="Media",'Mapa DIGSA'!$Q$42="Mayor"),CONCATENATE("R",'Mapa DIGSA'!$A$42),"")</f>
        <v>R6</v>
      </c>
      <c r="AG24" s="324"/>
      <c r="AH24" s="312" t="str">
        <f>IF(AND('Mapa DIGSA'!$M$30="Media",'Mapa DIGSA'!$Q$30="Catastrófico"),CONCATENATE("R",'Mapa DIGSA'!$A$30),"")</f>
        <v/>
      </c>
      <c r="AI24" s="313"/>
      <c r="AJ24" s="313" t="str">
        <f>IF(AND('Mapa DIGSA'!$M$36="Media",'Mapa DIGSA'!$Q$36="Catastrófico"),CONCATENATE("R",'Mapa DIGSA'!$A$36),"")</f>
        <v/>
      </c>
      <c r="AK24" s="313"/>
      <c r="AL24" s="313" t="str">
        <f>IF(AND('Mapa DIGSA'!$M$42="Media",'Mapa DIGSA'!$Q$42="Catastrófico"),CONCATENATE("R",'Mapa DIGSA'!$A$42),"")</f>
        <v/>
      </c>
      <c r="AM24" s="314"/>
      <c r="AN24" s="10"/>
      <c r="AO24" s="366"/>
      <c r="AP24" s="367"/>
      <c r="AQ24" s="367"/>
      <c r="AR24" s="367"/>
      <c r="AS24" s="367"/>
      <c r="AT24" s="368"/>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c r="BY24" s="10"/>
      <c r="BZ24" s="10"/>
      <c r="CA24" s="10"/>
      <c r="CB24" s="10"/>
    </row>
    <row r="25" spans="1:80" x14ac:dyDescent="0.2">
      <c r="A25" s="10"/>
      <c r="B25" s="343"/>
      <c r="C25" s="343"/>
      <c r="D25" s="344"/>
      <c r="E25" s="335"/>
      <c r="F25" s="341"/>
      <c r="G25" s="341"/>
      <c r="H25" s="341"/>
      <c r="I25" s="337"/>
      <c r="J25" s="303"/>
      <c r="K25" s="304"/>
      <c r="L25" s="304"/>
      <c r="M25" s="304"/>
      <c r="N25" s="304"/>
      <c r="O25" s="305"/>
      <c r="P25" s="303"/>
      <c r="Q25" s="304"/>
      <c r="R25" s="304"/>
      <c r="S25" s="304"/>
      <c r="T25" s="304"/>
      <c r="U25" s="305"/>
      <c r="V25" s="303"/>
      <c r="W25" s="304"/>
      <c r="X25" s="304"/>
      <c r="Y25" s="304"/>
      <c r="Z25" s="304"/>
      <c r="AA25" s="305"/>
      <c r="AB25" s="321"/>
      <c r="AC25" s="322"/>
      <c r="AD25" s="323"/>
      <c r="AE25" s="323"/>
      <c r="AF25" s="323"/>
      <c r="AG25" s="324"/>
      <c r="AH25" s="312"/>
      <c r="AI25" s="313"/>
      <c r="AJ25" s="313"/>
      <c r="AK25" s="313"/>
      <c r="AL25" s="313"/>
      <c r="AM25" s="314"/>
      <c r="AN25" s="10"/>
      <c r="AO25" s="366"/>
      <c r="AP25" s="367"/>
      <c r="AQ25" s="367"/>
      <c r="AR25" s="367"/>
      <c r="AS25" s="367"/>
      <c r="AT25" s="368"/>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c r="BY25" s="10"/>
      <c r="BZ25" s="10"/>
      <c r="CA25" s="10"/>
      <c r="CB25" s="10"/>
    </row>
    <row r="26" spans="1:80" x14ac:dyDescent="0.2">
      <c r="A26" s="10"/>
      <c r="B26" s="343"/>
      <c r="C26" s="343"/>
      <c r="D26" s="344"/>
      <c r="E26" s="335"/>
      <c r="F26" s="341"/>
      <c r="G26" s="341"/>
      <c r="H26" s="341"/>
      <c r="I26" s="337"/>
      <c r="J26" s="303" t="str">
        <f>IF(AND('Mapa DIGSA'!$M$48="Media",'Mapa DIGSA'!$Q$48="Leve"),CONCATENATE("R",'Mapa DIGSA'!$A$48),"")</f>
        <v/>
      </c>
      <c r="K26" s="304"/>
      <c r="L26" s="304" t="str">
        <f>IF(AND('Mapa DIGSA'!$M$54="Media",'Mapa DIGSA'!$Q$54="Leve"),CONCATENATE("R",'Mapa DIGSA'!$A$54),"")</f>
        <v/>
      </c>
      <c r="M26" s="304"/>
      <c r="N26" s="304" t="str">
        <f>IF(AND('Mapa DIGSA'!$M$60="Media",'Mapa DIGSA'!$Q$60="Leve"),CONCATENATE("R",'Mapa DIGSA'!$A$60),"")</f>
        <v/>
      </c>
      <c r="O26" s="305"/>
      <c r="P26" s="303" t="str">
        <f>IF(AND('Mapa DIGSA'!$M$48="Media",'Mapa DIGSA'!$Q$48="Menor"),CONCATENATE("R",'Mapa DIGSA'!$A$48),"")</f>
        <v/>
      </c>
      <c r="Q26" s="304"/>
      <c r="R26" s="304" t="str">
        <f>IF(AND('Mapa DIGSA'!$M$54="Media",'Mapa DIGSA'!$Q$54="Menor"),CONCATENATE("R",'Mapa DIGSA'!$A$54),"")</f>
        <v/>
      </c>
      <c r="S26" s="304"/>
      <c r="T26" s="304" t="str">
        <f>IF(AND('Mapa DIGSA'!$M$60="Media",'Mapa DIGSA'!$Q$60="Menor"),CONCATENATE("R",'Mapa DIGSA'!$A$60),"")</f>
        <v/>
      </c>
      <c r="U26" s="305"/>
      <c r="V26" s="303" t="str">
        <f>IF(AND('Mapa DIGSA'!$M$48="Media",'Mapa DIGSA'!$Q$48="Moderado"),CONCATENATE("R",'Mapa DIGSA'!$A$48),"")</f>
        <v/>
      </c>
      <c r="W26" s="304"/>
      <c r="X26" s="304" t="str">
        <f>IF(AND('Mapa DIGSA'!$M$54="Media",'Mapa DIGSA'!$Q$54="Moderado"),CONCATENATE("R",'Mapa DIGSA'!$A$54),"")</f>
        <v/>
      </c>
      <c r="Y26" s="304"/>
      <c r="Z26" s="304" t="str">
        <f>IF(AND('Mapa DIGSA'!$M$60="Media",'Mapa DIGSA'!$Q$60="Moderado"),CONCATENATE("R",'Mapa DIGSA'!$A$60),"")</f>
        <v/>
      </c>
      <c r="AA26" s="305"/>
      <c r="AB26" s="321" t="str">
        <f>IF(AND('Mapa DIGSA'!$M$48="Media",'Mapa DIGSA'!$Q$48="Mayor"),CONCATENATE("R",'Mapa DIGSA'!$A$48),"")</f>
        <v>R7</v>
      </c>
      <c r="AC26" s="322"/>
      <c r="AD26" s="323" t="str">
        <f>IF(AND('Mapa DIGSA'!$M$54="Media",'Mapa DIGSA'!$Q$54="Mayor"),CONCATENATE("R",'Mapa DIGSA'!$A$54),"")</f>
        <v/>
      </c>
      <c r="AE26" s="323"/>
      <c r="AF26" s="323" t="str">
        <f>IF(AND('Mapa DIGSA'!$M$60="Media",'Mapa DIGSA'!$Q$60="Mayor"),CONCATENATE("R",'Mapa DIGSA'!$A$60),"")</f>
        <v/>
      </c>
      <c r="AG26" s="324"/>
      <c r="AH26" s="312" t="str">
        <f>IF(AND('Mapa DIGSA'!$M$48="Media",'Mapa DIGSA'!$Q$48="Catastrófico"),CONCATENATE("R",'Mapa DIGSA'!$A$48),"")</f>
        <v/>
      </c>
      <c r="AI26" s="313"/>
      <c r="AJ26" s="313" t="str">
        <f>IF(AND('Mapa DIGSA'!$M$54="Media",'Mapa DIGSA'!$Q$54="Catastrófico"),CONCATENATE("R",'Mapa DIGSA'!$A$54),"")</f>
        <v/>
      </c>
      <c r="AK26" s="313"/>
      <c r="AL26" s="313" t="str">
        <f>IF(AND('Mapa DIGSA'!$M$60="Media",'Mapa DIGSA'!$Q$60="Catastrófico"),CONCATENATE("R",'Mapa DIGSA'!$A$60),"")</f>
        <v>R9</v>
      </c>
      <c r="AM26" s="314"/>
      <c r="AN26" s="10"/>
      <c r="AO26" s="366"/>
      <c r="AP26" s="367"/>
      <c r="AQ26" s="367"/>
      <c r="AR26" s="367"/>
      <c r="AS26" s="367"/>
      <c r="AT26" s="368"/>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c r="BY26" s="10"/>
      <c r="BZ26" s="10"/>
      <c r="CA26" s="10"/>
      <c r="CB26" s="10"/>
    </row>
    <row r="27" spans="1:80" x14ac:dyDescent="0.2">
      <c r="A27" s="10"/>
      <c r="B27" s="343"/>
      <c r="C27" s="343"/>
      <c r="D27" s="344"/>
      <c r="E27" s="335"/>
      <c r="F27" s="341"/>
      <c r="G27" s="341"/>
      <c r="H27" s="341"/>
      <c r="I27" s="337"/>
      <c r="J27" s="303"/>
      <c r="K27" s="304"/>
      <c r="L27" s="304"/>
      <c r="M27" s="304"/>
      <c r="N27" s="304"/>
      <c r="O27" s="305"/>
      <c r="P27" s="303"/>
      <c r="Q27" s="304"/>
      <c r="R27" s="304"/>
      <c r="S27" s="304"/>
      <c r="T27" s="304"/>
      <c r="U27" s="305"/>
      <c r="V27" s="303"/>
      <c r="W27" s="304"/>
      <c r="X27" s="304"/>
      <c r="Y27" s="304"/>
      <c r="Z27" s="304"/>
      <c r="AA27" s="305"/>
      <c r="AB27" s="321"/>
      <c r="AC27" s="322"/>
      <c r="AD27" s="323"/>
      <c r="AE27" s="323"/>
      <c r="AF27" s="323"/>
      <c r="AG27" s="324"/>
      <c r="AH27" s="312"/>
      <c r="AI27" s="313"/>
      <c r="AJ27" s="313"/>
      <c r="AK27" s="313"/>
      <c r="AL27" s="313"/>
      <c r="AM27" s="314"/>
      <c r="AN27" s="10"/>
      <c r="AO27" s="366"/>
      <c r="AP27" s="367"/>
      <c r="AQ27" s="367"/>
      <c r="AR27" s="367"/>
      <c r="AS27" s="367"/>
      <c r="AT27" s="368"/>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c r="BY27" s="10"/>
      <c r="BZ27" s="10"/>
      <c r="CA27" s="10"/>
      <c r="CB27" s="10"/>
    </row>
    <row r="28" spans="1:80" x14ac:dyDescent="0.2">
      <c r="A28" s="10"/>
      <c r="B28" s="343"/>
      <c r="C28" s="343"/>
      <c r="D28" s="344"/>
      <c r="E28" s="335"/>
      <c r="F28" s="341"/>
      <c r="G28" s="341"/>
      <c r="H28" s="341"/>
      <c r="I28" s="337"/>
      <c r="J28" s="303" t="str">
        <f>IF(AND('Mapa DIGSA'!$M$66="Media",'Mapa DIGSA'!$Q$66="Leve"),CONCATENATE("R",'Mapa DIGSA'!$A$66),"")</f>
        <v/>
      </c>
      <c r="K28" s="304"/>
      <c r="L28" s="304" t="e">
        <f>IF(AND('Mapa DIGSA'!#REF!="Media",'Mapa DIGSA'!#REF!="Leve"),CONCATENATE("R",'Mapa DIGSA'!#REF!),"")</f>
        <v>#REF!</v>
      </c>
      <c r="M28" s="304"/>
      <c r="N28" s="304" t="e">
        <f>IF(AND('Mapa DIGSA'!#REF!="Media",'Mapa DIGSA'!#REF!="Leve"),CONCATENATE("R",'Mapa DIGSA'!#REF!),"")</f>
        <v>#REF!</v>
      </c>
      <c r="O28" s="305"/>
      <c r="P28" s="303" t="str">
        <f>IF(AND('Mapa DIGSA'!$M$66="Media",'Mapa DIGSA'!$Q$66="Menor"),CONCATENATE("R",'Mapa DIGSA'!$A$66),"")</f>
        <v/>
      </c>
      <c r="Q28" s="304"/>
      <c r="R28" s="304" t="e">
        <f>IF(AND('Mapa DIGSA'!#REF!="Media",'Mapa DIGSA'!#REF!="Menor"),CONCATENATE("R",'Mapa DIGSA'!#REF!),"")</f>
        <v>#REF!</v>
      </c>
      <c r="S28" s="304"/>
      <c r="T28" s="304" t="e">
        <f>IF(AND('Mapa DIGSA'!#REF!="Media",'Mapa DIGSA'!#REF!="Menor"),CONCATENATE("R",'Mapa DIGSA'!#REF!),"")</f>
        <v>#REF!</v>
      </c>
      <c r="U28" s="305"/>
      <c r="V28" s="303" t="str">
        <f>IF(AND('Mapa DIGSA'!$M$66="Media",'Mapa DIGSA'!$Q$66="Moderado"),CONCATENATE("R",'Mapa DIGSA'!$A$66),"")</f>
        <v/>
      </c>
      <c r="W28" s="304"/>
      <c r="X28" s="304" t="e">
        <f>IF(AND('Mapa DIGSA'!#REF!="Media",'Mapa DIGSA'!#REF!="Moderado"),CONCATENATE("R",'Mapa DIGSA'!#REF!),"")</f>
        <v>#REF!</v>
      </c>
      <c r="Y28" s="304"/>
      <c r="Z28" s="304" t="e">
        <f>IF(AND('Mapa DIGSA'!#REF!="Media",'Mapa DIGSA'!#REF!="Moderado"),CONCATENATE("R",'Mapa DIGSA'!#REF!),"")</f>
        <v>#REF!</v>
      </c>
      <c r="AA28" s="305"/>
      <c r="AB28" s="321" t="str">
        <f>IF(AND('Mapa DIGSA'!$M$66="Media",'Mapa DIGSA'!$Q$66="Mayor"),CONCATENATE("R",'Mapa DIGSA'!$A$66),"")</f>
        <v/>
      </c>
      <c r="AC28" s="322"/>
      <c r="AD28" s="323" t="e">
        <f>IF(AND('Mapa DIGSA'!#REF!="Media",'Mapa DIGSA'!#REF!="Mayor"),CONCATENATE("R",'Mapa DIGSA'!#REF!),"")</f>
        <v>#REF!</v>
      </c>
      <c r="AE28" s="323"/>
      <c r="AF28" s="323" t="e">
        <f>IF(AND('Mapa DIGSA'!#REF!="Media",'Mapa DIGSA'!#REF!="Mayor"),CONCATENATE("R",'Mapa DIGSA'!#REF!),"")</f>
        <v>#REF!</v>
      </c>
      <c r="AG28" s="324"/>
      <c r="AH28" s="312" t="str">
        <f>IF(AND('Mapa DIGSA'!$M$66="Media",'Mapa DIGSA'!$Q$66="Catastrófico"),CONCATENATE("R",'Mapa DIGSA'!$A$66),"")</f>
        <v/>
      </c>
      <c r="AI28" s="313"/>
      <c r="AJ28" s="313" t="e">
        <f>IF(AND('Mapa DIGSA'!#REF!="Media",'Mapa DIGSA'!#REF!="Catastrófico"),CONCATENATE("R",'Mapa DIGSA'!#REF!),"")</f>
        <v>#REF!</v>
      </c>
      <c r="AK28" s="313"/>
      <c r="AL28" s="313" t="e">
        <f>IF(AND('Mapa DIGSA'!#REF!="Media",'Mapa DIGSA'!#REF!="Catastrófico"),CONCATENATE("R",'Mapa DIGSA'!#REF!),"")</f>
        <v>#REF!</v>
      </c>
      <c r="AM28" s="314"/>
      <c r="AN28" s="10"/>
      <c r="AO28" s="366"/>
      <c r="AP28" s="367"/>
      <c r="AQ28" s="367"/>
      <c r="AR28" s="367"/>
      <c r="AS28" s="367"/>
      <c r="AT28" s="368"/>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c r="BY28" s="10"/>
      <c r="BZ28" s="10"/>
      <c r="CA28" s="10"/>
      <c r="CB28" s="10"/>
    </row>
    <row r="29" spans="1:80" ht="15" thickBot="1" x14ac:dyDescent="0.25">
      <c r="A29" s="10"/>
      <c r="B29" s="343"/>
      <c r="C29" s="343"/>
      <c r="D29" s="344"/>
      <c r="E29" s="338"/>
      <c r="F29" s="339"/>
      <c r="G29" s="339"/>
      <c r="H29" s="339"/>
      <c r="I29" s="340"/>
      <c r="J29" s="303"/>
      <c r="K29" s="304"/>
      <c r="L29" s="304"/>
      <c r="M29" s="304"/>
      <c r="N29" s="304"/>
      <c r="O29" s="305"/>
      <c r="P29" s="306"/>
      <c r="Q29" s="307"/>
      <c r="R29" s="307"/>
      <c r="S29" s="307"/>
      <c r="T29" s="307"/>
      <c r="U29" s="308"/>
      <c r="V29" s="306"/>
      <c r="W29" s="307"/>
      <c r="X29" s="307"/>
      <c r="Y29" s="307"/>
      <c r="Z29" s="307"/>
      <c r="AA29" s="308"/>
      <c r="AB29" s="325"/>
      <c r="AC29" s="326"/>
      <c r="AD29" s="326"/>
      <c r="AE29" s="326"/>
      <c r="AF29" s="326"/>
      <c r="AG29" s="327"/>
      <c r="AH29" s="315"/>
      <c r="AI29" s="316"/>
      <c r="AJ29" s="316"/>
      <c r="AK29" s="316"/>
      <c r="AL29" s="316"/>
      <c r="AM29" s="317"/>
      <c r="AN29" s="10"/>
      <c r="AO29" s="369"/>
      <c r="AP29" s="370"/>
      <c r="AQ29" s="370"/>
      <c r="AR29" s="370"/>
      <c r="AS29" s="370"/>
      <c r="AT29" s="371"/>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row>
    <row r="30" spans="1:80" x14ac:dyDescent="0.2">
      <c r="A30" s="10"/>
      <c r="B30" s="343"/>
      <c r="C30" s="343"/>
      <c r="D30" s="344"/>
      <c r="E30" s="332" t="s">
        <v>107</v>
      </c>
      <c r="F30" s="333"/>
      <c r="G30" s="333"/>
      <c r="H30" s="333"/>
      <c r="I30" s="333"/>
      <c r="J30" s="300" t="str">
        <f>IF(AND('Mapa DIGSA'!$M$12="Baja",'Mapa DIGSA'!$Q$12="Leve"),CONCATENATE("R",'Mapa DIGSA'!$A$12),"")</f>
        <v/>
      </c>
      <c r="K30" s="301"/>
      <c r="L30" s="301" t="str">
        <f>IF(AND('Mapa DIGSA'!$M$18="Baja",'Mapa DIGSA'!$Q$18="Leve"),CONCATENATE("R",'Mapa DIGSA'!$A$18),"")</f>
        <v/>
      </c>
      <c r="M30" s="301"/>
      <c r="N30" s="301" t="str">
        <f>IF(AND('Mapa DIGSA'!$M$24="Baja",'Mapa DIGSA'!$Q$24="Leve"),CONCATENATE("R",'Mapa DIGSA'!$A$24),"")</f>
        <v/>
      </c>
      <c r="O30" s="302"/>
      <c r="P30" s="310" t="str">
        <f>IF(AND('Mapa DIGSA'!$M$12="Baja",'Mapa DIGSA'!$Q$12="Menor"),CONCATENATE("R",'Mapa DIGSA'!$A$12),"")</f>
        <v/>
      </c>
      <c r="Q30" s="310"/>
      <c r="R30" s="310" t="str">
        <f>IF(AND('Mapa DIGSA'!$M$18="Baja",'Mapa DIGSA'!$Q$18="Menor"),CONCATENATE("R",'Mapa DIGSA'!$A$18),"")</f>
        <v/>
      </c>
      <c r="S30" s="310"/>
      <c r="T30" s="310" t="str">
        <f>IF(AND('Mapa DIGSA'!$M$24="Baja",'Mapa DIGSA'!$Q$24="Menor"),CONCATENATE("R",'Mapa DIGSA'!$A$24),"")</f>
        <v/>
      </c>
      <c r="U30" s="311"/>
      <c r="V30" s="309" t="str">
        <f>IF(AND('Mapa DIGSA'!$M$12="Baja",'Mapa DIGSA'!$Q$12="Moderado"),CONCATENATE("R",'Mapa DIGSA'!$A$12),"")</f>
        <v/>
      </c>
      <c r="W30" s="310"/>
      <c r="X30" s="310" t="str">
        <f>IF(AND('Mapa DIGSA'!$M$18="Baja",'Mapa DIGSA'!$Q$18="Moderado"),CONCATENATE("R",'Mapa DIGSA'!$A$18),"")</f>
        <v/>
      </c>
      <c r="Y30" s="310"/>
      <c r="Z30" s="310" t="str">
        <f>IF(AND('Mapa DIGSA'!$M$24="Baja",'Mapa DIGSA'!$Q$24="Moderado"),CONCATENATE("R",'Mapa DIGSA'!$A$24),"")</f>
        <v/>
      </c>
      <c r="AA30" s="311"/>
      <c r="AB30" s="328" t="str">
        <f>IF(AND('Mapa DIGSA'!$M$12="Baja",'Mapa DIGSA'!$Q$12="Mayor"),CONCATENATE("R",'Mapa DIGSA'!$A$12),"")</f>
        <v/>
      </c>
      <c r="AC30" s="329"/>
      <c r="AD30" s="329" t="str">
        <f>IF(AND('Mapa DIGSA'!$M$18="Baja",'Mapa DIGSA'!$Q$18="Mayor"),CONCATENATE("R",'Mapa DIGSA'!$A$18),"")</f>
        <v/>
      </c>
      <c r="AE30" s="329"/>
      <c r="AF30" s="329" t="str">
        <f>IF(AND('Mapa DIGSA'!$M$24="Baja",'Mapa DIGSA'!$Q$24="Mayor"),CONCATENATE("R",'Mapa DIGSA'!$A$24),"")</f>
        <v/>
      </c>
      <c r="AG30" s="330"/>
      <c r="AH30" s="318" t="str">
        <f>IF(AND('Mapa DIGSA'!$M$12="Baja",'Mapa DIGSA'!$Q$12="Catastrófico"),CONCATENATE("R",'Mapa DIGSA'!$A$12),"")</f>
        <v/>
      </c>
      <c r="AI30" s="319"/>
      <c r="AJ30" s="319" t="str">
        <f>IF(AND('Mapa DIGSA'!$M$18="Baja",'Mapa DIGSA'!$Q$18="Catastrófico"),CONCATENATE("R",'Mapa DIGSA'!$A$18),"")</f>
        <v/>
      </c>
      <c r="AK30" s="319"/>
      <c r="AL30" s="319" t="str">
        <f>IF(AND('Mapa DIGSA'!$M$24="Baja",'Mapa DIGSA'!$Q$24="Catastrófico"),CONCATENATE("R",'Mapa DIGSA'!$A$24),"")</f>
        <v/>
      </c>
      <c r="AM30" s="320"/>
      <c r="AN30" s="10"/>
      <c r="AO30" s="372" t="s">
        <v>76</v>
      </c>
      <c r="AP30" s="373"/>
      <c r="AQ30" s="373"/>
      <c r="AR30" s="373"/>
      <c r="AS30" s="373"/>
      <c r="AT30" s="374"/>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c r="BY30" s="10"/>
      <c r="BZ30" s="10"/>
      <c r="CA30" s="10"/>
      <c r="CB30" s="10"/>
    </row>
    <row r="31" spans="1:80" x14ac:dyDescent="0.2">
      <c r="A31" s="10"/>
      <c r="B31" s="343"/>
      <c r="C31" s="343"/>
      <c r="D31" s="344"/>
      <c r="E31" s="335"/>
      <c r="F31" s="341"/>
      <c r="G31" s="341"/>
      <c r="H31" s="341"/>
      <c r="I31" s="336"/>
      <c r="J31" s="294"/>
      <c r="K31" s="295"/>
      <c r="L31" s="295"/>
      <c r="M31" s="295"/>
      <c r="N31" s="295"/>
      <c r="O31" s="296"/>
      <c r="P31" s="304"/>
      <c r="Q31" s="304"/>
      <c r="R31" s="304"/>
      <c r="S31" s="304"/>
      <c r="T31" s="304"/>
      <c r="U31" s="305"/>
      <c r="V31" s="303"/>
      <c r="W31" s="304"/>
      <c r="X31" s="304"/>
      <c r="Y31" s="304"/>
      <c r="Z31" s="304"/>
      <c r="AA31" s="305"/>
      <c r="AB31" s="321"/>
      <c r="AC31" s="322"/>
      <c r="AD31" s="322"/>
      <c r="AE31" s="322"/>
      <c r="AF31" s="322"/>
      <c r="AG31" s="324"/>
      <c r="AH31" s="312"/>
      <c r="AI31" s="313"/>
      <c r="AJ31" s="313"/>
      <c r="AK31" s="313"/>
      <c r="AL31" s="313"/>
      <c r="AM31" s="314"/>
      <c r="AN31" s="10"/>
      <c r="AO31" s="375"/>
      <c r="AP31" s="376"/>
      <c r="AQ31" s="376"/>
      <c r="AR31" s="376"/>
      <c r="AS31" s="376"/>
      <c r="AT31" s="377"/>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c r="BY31" s="10"/>
      <c r="BZ31" s="10"/>
      <c r="CA31" s="10"/>
      <c r="CB31" s="10"/>
    </row>
    <row r="32" spans="1:80" x14ac:dyDescent="0.2">
      <c r="A32" s="10"/>
      <c r="B32" s="343"/>
      <c r="C32" s="343"/>
      <c r="D32" s="344"/>
      <c r="E32" s="335"/>
      <c r="F32" s="341"/>
      <c r="G32" s="341"/>
      <c r="H32" s="341"/>
      <c r="I32" s="336"/>
      <c r="J32" s="294" t="str">
        <f>IF(AND('Mapa DIGSA'!$M$30="Baja",'Mapa DIGSA'!$Q$30="Leve"),CONCATENATE("R",'Mapa DIGSA'!$A$30),"")</f>
        <v/>
      </c>
      <c r="K32" s="295"/>
      <c r="L32" s="295" t="str">
        <f>IF(AND('Mapa DIGSA'!$M$36="Baja",'Mapa DIGSA'!$Q$36="Leve"),CONCATENATE("R",'Mapa DIGSA'!$A$36),"")</f>
        <v/>
      </c>
      <c r="M32" s="295"/>
      <c r="N32" s="295" t="str">
        <f>IF(AND('Mapa DIGSA'!$M$42="Baja",'Mapa DIGSA'!$Q$42="Leve"),CONCATENATE("R",'Mapa DIGSA'!$A$42),"")</f>
        <v/>
      </c>
      <c r="O32" s="296"/>
      <c r="P32" s="304" t="str">
        <f>IF(AND('Mapa DIGSA'!$M$30="Baja",'Mapa DIGSA'!$Q$30="Menor"),CONCATENATE("R",'Mapa DIGSA'!$A$30),"")</f>
        <v/>
      </c>
      <c r="Q32" s="304"/>
      <c r="R32" s="304" t="str">
        <f>IF(AND('Mapa DIGSA'!$M$36="Baja",'Mapa DIGSA'!$Q$36="Menor"),CONCATENATE("R",'Mapa DIGSA'!$A$36),"")</f>
        <v/>
      </c>
      <c r="S32" s="304"/>
      <c r="T32" s="304" t="str">
        <f>IF(AND('Mapa DIGSA'!$M$42="Baja",'Mapa DIGSA'!$Q$42="Menor"),CONCATENATE("R",'Mapa DIGSA'!$A$42),"")</f>
        <v/>
      </c>
      <c r="U32" s="305"/>
      <c r="V32" s="303" t="str">
        <f>IF(AND('Mapa DIGSA'!$M$30="Baja",'Mapa DIGSA'!$Q$30="Moderado"),CONCATENATE("R",'Mapa DIGSA'!$A$30),"")</f>
        <v/>
      </c>
      <c r="W32" s="304"/>
      <c r="X32" s="304" t="str">
        <f>IF(AND('Mapa DIGSA'!$M$36="Baja",'Mapa DIGSA'!$Q$36="Moderado"),CONCATENATE("R",'Mapa DIGSA'!$A$36),"")</f>
        <v/>
      </c>
      <c r="Y32" s="304"/>
      <c r="Z32" s="304" t="str">
        <f>IF(AND('Mapa DIGSA'!$M$42="Baja",'Mapa DIGSA'!$Q$42="Moderado"),CONCATENATE("R",'Mapa DIGSA'!$A$42),"")</f>
        <v/>
      </c>
      <c r="AA32" s="305"/>
      <c r="AB32" s="321" t="str">
        <f>IF(AND('Mapa DIGSA'!$M$30="Baja",'Mapa DIGSA'!$Q$30="Mayor"),CONCATENATE("R",'Mapa DIGSA'!$A$30),"")</f>
        <v/>
      </c>
      <c r="AC32" s="322"/>
      <c r="AD32" s="323" t="str">
        <f>IF(AND('Mapa DIGSA'!$M$36="Baja",'Mapa DIGSA'!$Q$36="Mayor"),CONCATENATE("R",'Mapa DIGSA'!$A$36),"")</f>
        <v/>
      </c>
      <c r="AE32" s="323"/>
      <c r="AF32" s="323" t="str">
        <f>IF(AND('Mapa DIGSA'!$M$42="Baja",'Mapa DIGSA'!$Q$42="Mayor"),CONCATENATE("R",'Mapa DIGSA'!$A$42),"")</f>
        <v/>
      </c>
      <c r="AG32" s="324"/>
      <c r="AH32" s="312" t="str">
        <f>IF(AND('Mapa DIGSA'!$M$30="Baja",'Mapa DIGSA'!$Q$30="Catastrófico"),CONCATENATE("R",'Mapa DIGSA'!$A$30),"")</f>
        <v/>
      </c>
      <c r="AI32" s="313"/>
      <c r="AJ32" s="313" t="str">
        <f>IF(AND('Mapa DIGSA'!$M$36="Baja",'Mapa DIGSA'!$Q$36="Catastrófico"),CONCATENATE("R",'Mapa DIGSA'!$A$36),"")</f>
        <v/>
      </c>
      <c r="AK32" s="313"/>
      <c r="AL32" s="313" t="str">
        <f>IF(AND('Mapa DIGSA'!$M$42="Baja",'Mapa DIGSA'!$Q$42="Catastrófico"),CONCATENATE("R",'Mapa DIGSA'!$A$42),"")</f>
        <v/>
      </c>
      <c r="AM32" s="314"/>
      <c r="AN32" s="10"/>
      <c r="AO32" s="375"/>
      <c r="AP32" s="376"/>
      <c r="AQ32" s="376"/>
      <c r="AR32" s="376"/>
      <c r="AS32" s="376"/>
      <c r="AT32" s="377"/>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c r="BY32" s="10"/>
      <c r="BZ32" s="10"/>
      <c r="CA32" s="10"/>
      <c r="CB32" s="10"/>
    </row>
    <row r="33" spans="1:80" x14ac:dyDescent="0.2">
      <c r="A33" s="10"/>
      <c r="B33" s="343"/>
      <c r="C33" s="343"/>
      <c r="D33" s="344"/>
      <c r="E33" s="335"/>
      <c r="F33" s="341"/>
      <c r="G33" s="341"/>
      <c r="H33" s="341"/>
      <c r="I33" s="336"/>
      <c r="J33" s="294"/>
      <c r="K33" s="295"/>
      <c r="L33" s="295"/>
      <c r="M33" s="295"/>
      <c r="N33" s="295"/>
      <c r="O33" s="296"/>
      <c r="P33" s="304"/>
      <c r="Q33" s="304"/>
      <c r="R33" s="304"/>
      <c r="S33" s="304"/>
      <c r="T33" s="304"/>
      <c r="U33" s="305"/>
      <c r="V33" s="303"/>
      <c r="W33" s="304"/>
      <c r="X33" s="304"/>
      <c r="Y33" s="304"/>
      <c r="Z33" s="304"/>
      <c r="AA33" s="305"/>
      <c r="AB33" s="321"/>
      <c r="AC33" s="322"/>
      <c r="AD33" s="323"/>
      <c r="AE33" s="323"/>
      <c r="AF33" s="323"/>
      <c r="AG33" s="324"/>
      <c r="AH33" s="312"/>
      <c r="AI33" s="313"/>
      <c r="AJ33" s="313"/>
      <c r="AK33" s="313"/>
      <c r="AL33" s="313"/>
      <c r="AM33" s="314"/>
      <c r="AN33" s="10"/>
      <c r="AO33" s="375"/>
      <c r="AP33" s="376"/>
      <c r="AQ33" s="376"/>
      <c r="AR33" s="376"/>
      <c r="AS33" s="376"/>
      <c r="AT33" s="377"/>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c r="BY33" s="10"/>
      <c r="BZ33" s="10"/>
      <c r="CA33" s="10"/>
      <c r="CB33" s="10"/>
    </row>
    <row r="34" spans="1:80" x14ac:dyDescent="0.2">
      <c r="A34" s="10"/>
      <c r="B34" s="343"/>
      <c r="C34" s="343"/>
      <c r="D34" s="344"/>
      <c r="E34" s="335"/>
      <c r="F34" s="341"/>
      <c r="G34" s="341"/>
      <c r="H34" s="341"/>
      <c r="I34" s="336"/>
      <c r="J34" s="294" t="str">
        <f>IF(AND('Mapa DIGSA'!$M$48="Baja",'Mapa DIGSA'!$Q$48="Leve"),CONCATENATE("R",'Mapa DIGSA'!$A$48),"")</f>
        <v/>
      </c>
      <c r="K34" s="295"/>
      <c r="L34" s="295" t="str">
        <f>IF(AND('Mapa DIGSA'!$M$54="Baja",'Mapa DIGSA'!$Q$54="Leve"),CONCATENATE("R",'Mapa DIGSA'!$A$54),"")</f>
        <v/>
      </c>
      <c r="M34" s="295"/>
      <c r="N34" s="295" t="str">
        <f>IF(AND('Mapa DIGSA'!$M$60="Baja",'Mapa DIGSA'!$Q$60="Leve"),CONCATENATE("R",'Mapa DIGSA'!$A$60),"")</f>
        <v/>
      </c>
      <c r="O34" s="296"/>
      <c r="P34" s="304" t="str">
        <f>IF(AND('Mapa DIGSA'!$M$48="Baja",'Mapa DIGSA'!$Q$48="Menor"),CONCATENATE("R",'Mapa DIGSA'!$A$48),"")</f>
        <v/>
      </c>
      <c r="Q34" s="304"/>
      <c r="R34" s="304" t="str">
        <f>IF(AND('Mapa DIGSA'!$M$54="Baja",'Mapa DIGSA'!$Q$54="Menor"),CONCATENATE("R",'Mapa DIGSA'!$A$54),"")</f>
        <v/>
      </c>
      <c r="S34" s="304"/>
      <c r="T34" s="304" t="str">
        <f>IF(AND('Mapa DIGSA'!$M$60="Baja",'Mapa DIGSA'!$Q$60="Menor"),CONCATENATE("R",'Mapa DIGSA'!$A$60),"")</f>
        <v/>
      </c>
      <c r="U34" s="305"/>
      <c r="V34" s="303" t="str">
        <f>IF(AND('Mapa DIGSA'!$M$48="Baja",'Mapa DIGSA'!$Q$48="Moderado"),CONCATENATE("R",'Mapa DIGSA'!$A$48),"")</f>
        <v/>
      </c>
      <c r="W34" s="304"/>
      <c r="X34" s="304" t="str">
        <f>IF(AND('Mapa DIGSA'!$M$54="Baja",'Mapa DIGSA'!$Q$54="Moderado"),CONCATENATE("R",'Mapa DIGSA'!$A$54),"")</f>
        <v/>
      </c>
      <c r="Y34" s="304"/>
      <c r="Z34" s="304" t="str">
        <f>IF(AND('Mapa DIGSA'!$M$60="Baja",'Mapa DIGSA'!$Q$60="Moderado"),CONCATENATE("R",'Mapa DIGSA'!$A$60),"")</f>
        <v/>
      </c>
      <c r="AA34" s="305"/>
      <c r="AB34" s="321" t="str">
        <f>IF(AND('Mapa DIGSA'!$M$48="Baja",'Mapa DIGSA'!$Q$48="Mayor"),CONCATENATE("R",'Mapa DIGSA'!$A$48),"")</f>
        <v/>
      </c>
      <c r="AC34" s="322"/>
      <c r="AD34" s="323" t="str">
        <f>IF(AND('Mapa DIGSA'!$M$54="Baja",'Mapa DIGSA'!$Q$54="Mayor"),CONCATENATE("R",'Mapa DIGSA'!$A$54),"")</f>
        <v/>
      </c>
      <c r="AE34" s="323"/>
      <c r="AF34" s="323" t="str">
        <f>IF(AND('Mapa DIGSA'!$M$60="Baja",'Mapa DIGSA'!$Q$60="Mayor"),CONCATENATE("R",'Mapa DIGSA'!$A$60),"")</f>
        <v/>
      </c>
      <c r="AG34" s="324"/>
      <c r="AH34" s="312" t="str">
        <f>IF(AND('Mapa DIGSA'!$M$48="Baja",'Mapa DIGSA'!$Q$48="Catastrófico"),CONCATENATE("R",'Mapa DIGSA'!$A$48),"")</f>
        <v/>
      </c>
      <c r="AI34" s="313"/>
      <c r="AJ34" s="313" t="str">
        <f>IF(AND('Mapa DIGSA'!$M$54="Baja",'Mapa DIGSA'!$Q$54="Catastrófico"),CONCATENATE("R",'Mapa DIGSA'!$A$54),"")</f>
        <v/>
      </c>
      <c r="AK34" s="313"/>
      <c r="AL34" s="313" t="str">
        <f>IF(AND('Mapa DIGSA'!$M$60="Baja",'Mapa DIGSA'!$Q$60="Catastrófico"),CONCATENATE("R",'Mapa DIGSA'!$A$60),"")</f>
        <v/>
      </c>
      <c r="AM34" s="314"/>
      <c r="AN34" s="10"/>
      <c r="AO34" s="375"/>
      <c r="AP34" s="376"/>
      <c r="AQ34" s="376"/>
      <c r="AR34" s="376"/>
      <c r="AS34" s="376"/>
      <c r="AT34" s="377"/>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row>
    <row r="35" spans="1:80" x14ac:dyDescent="0.2">
      <c r="A35" s="10"/>
      <c r="B35" s="343"/>
      <c r="C35" s="343"/>
      <c r="D35" s="344"/>
      <c r="E35" s="335"/>
      <c r="F35" s="341"/>
      <c r="G35" s="341"/>
      <c r="H35" s="341"/>
      <c r="I35" s="336"/>
      <c r="J35" s="294"/>
      <c r="K35" s="295"/>
      <c r="L35" s="295"/>
      <c r="M35" s="295"/>
      <c r="N35" s="295"/>
      <c r="O35" s="296"/>
      <c r="P35" s="304"/>
      <c r="Q35" s="304"/>
      <c r="R35" s="304"/>
      <c r="S35" s="304"/>
      <c r="T35" s="304"/>
      <c r="U35" s="305"/>
      <c r="V35" s="303"/>
      <c r="W35" s="304"/>
      <c r="X35" s="304"/>
      <c r="Y35" s="304"/>
      <c r="Z35" s="304"/>
      <c r="AA35" s="305"/>
      <c r="AB35" s="321"/>
      <c r="AC35" s="322"/>
      <c r="AD35" s="323"/>
      <c r="AE35" s="323"/>
      <c r="AF35" s="323"/>
      <c r="AG35" s="324"/>
      <c r="AH35" s="312"/>
      <c r="AI35" s="313"/>
      <c r="AJ35" s="313"/>
      <c r="AK35" s="313"/>
      <c r="AL35" s="313"/>
      <c r="AM35" s="314"/>
      <c r="AN35" s="10"/>
      <c r="AO35" s="375"/>
      <c r="AP35" s="376"/>
      <c r="AQ35" s="376"/>
      <c r="AR35" s="376"/>
      <c r="AS35" s="376"/>
      <c r="AT35" s="377"/>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c r="BY35" s="10"/>
      <c r="BZ35" s="10"/>
      <c r="CA35" s="10"/>
      <c r="CB35" s="10"/>
    </row>
    <row r="36" spans="1:80" x14ac:dyDescent="0.2">
      <c r="A36" s="10"/>
      <c r="B36" s="343"/>
      <c r="C36" s="343"/>
      <c r="D36" s="344"/>
      <c r="E36" s="335"/>
      <c r="F36" s="341"/>
      <c r="G36" s="341"/>
      <c r="H36" s="341"/>
      <c r="I36" s="336"/>
      <c r="J36" s="294" t="str">
        <f>IF(AND('Mapa DIGSA'!$M$66="Baja",'Mapa DIGSA'!$Q$66="Leve"),CONCATENATE("R",'Mapa DIGSA'!$A$66),"")</f>
        <v/>
      </c>
      <c r="K36" s="295"/>
      <c r="L36" s="295" t="e">
        <f>IF(AND('Mapa DIGSA'!#REF!="Baja",'Mapa DIGSA'!#REF!="Leve"),CONCATENATE("R",'Mapa DIGSA'!#REF!),"")</f>
        <v>#REF!</v>
      </c>
      <c r="M36" s="295"/>
      <c r="N36" s="295" t="e">
        <f>IF(AND('Mapa DIGSA'!#REF!="Baja",'Mapa DIGSA'!#REF!="Leve"),CONCATENATE("R",'Mapa DIGSA'!#REF!),"")</f>
        <v>#REF!</v>
      </c>
      <c r="O36" s="296"/>
      <c r="P36" s="304" t="str">
        <f>IF(AND('Mapa DIGSA'!$M$66="Baja",'Mapa DIGSA'!$Q$66="Menor"),CONCATENATE("R",'Mapa DIGSA'!$A$66),"")</f>
        <v/>
      </c>
      <c r="Q36" s="304"/>
      <c r="R36" s="304" t="e">
        <f>IF(AND('Mapa DIGSA'!#REF!="Baja",'Mapa DIGSA'!#REF!="Menor"),CONCATENATE("R",'Mapa DIGSA'!#REF!),"")</f>
        <v>#REF!</v>
      </c>
      <c r="S36" s="304"/>
      <c r="T36" s="304" t="e">
        <f>IF(AND('Mapa DIGSA'!#REF!="Baja",'Mapa DIGSA'!#REF!="Menor"),CONCATENATE("R",'Mapa DIGSA'!#REF!),"")</f>
        <v>#REF!</v>
      </c>
      <c r="U36" s="305"/>
      <c r="V36" s="303" t="str">
        <f>IF(AND('Mapa DIGSA'!$M$66="Baja",'Mapa DIGSA'!$Q$66="Moderado"),CONCATENATE("R",'Mapa DIGSA'!$A$66),"")</f>
        <v/>
      </c>
      <c r="W36" s="304"/>
      <c r="X36" s="304" t="e">
        <f>IF(AND('Mapa DIGSA'!#REF!="Baja",'Mapa DIGSA'!#REF!="Moderado"),CONCATENATE("R",'Mapa DIGSA'!#REF!),"")</f>
        <v>#REF!</v>
      </c>
      <c r="Y36" s="304"/>
      <c r="Z36" s="304" t="e">
        <f>IF(AND('Mapa DIGSA'!#REF!="Baja",'Mapa DIGSA'!#REF!="Moderado"),CONCATENATE("R",'Mapa DIGSA'!#REF!),"")</f>
        <v>#REF!</v>
      </c>
      <c r="AA36" s="305"/>
      <c r="AB36" s="321" t="str">
        <f>IF(AND('Mapa DIGSA'!$M$66="Baja",'Mapa DIGSA'!$Q$66="Mayor"),CONCATENATE("R",'Mapa DIGSA'!$A$66),"")</f>
        <v/>
      </c>
      <c r="AC36" s="322"/>
      <c r="AD36" s="323" t="e">
        <f>IF(AND('Mapa DIGSA'!#REF!="Baja",'Mapa DIGSA'!#REF!="Mayor"),CONCATENATE("R",'Mapa DIGSA'!#REF!),"")</f>
        <v>#REF!</v>
      </c>
      <c r="AE36" s="323"/>
      <c r="AF36" s="323" t="e">
        <f>IF(AND('Mapa DIGSA'!#REF!="Baja",'Mapa DIGSA'!#REF!="Mayor"),CONCATENATE("R",'Mapa DIGSA'!#REF!),"")</f>
        <v>#REF!</v>
      </c>
      <c r="AG36" s="324"/>
      <c r="AH36" s="312" t="str">
        <f>IF(AND('Mapa DIGSA'!$M$66="Baja",'Mapa DIGSA'!$Q$66="Catastrófico"),CONCATENATE("R",'Mapa DIGSA'!$A$66),"")</f>
        <v/>
      </c>
      <c r="AI36" s="313"/>
      <c r="AJ36" s="313" t="e">
        <f>IF(AND('Mapa DIGSA'!#REF!="Baja",'Mapa DIGSA'!#REF!="Catastrófico"),CONCATENATE("R",'Mapa DIGSA'!#REF!),"")</f>
        <v>#REF!</v>
      </c>
      <c r="AK36" s="313"/>
      <c r="AL36" s="313" t="e">
        <f>IF(AND('Mapa DIGSA'!#REF!="Baja",'Mapa DIGSA'!#REF!="Catastrófico"),CONCATENATE("R",'Mapa DIGSA'!#REF!),"")</f>
        <v>#REF!</v>
      </c>
      <c r="AM36" s="314"/>
      <c r="AN36" s="10"/>
      <c r="AO36" s="375"/>
      <c r="AP36" s="376"/>
      <c r="AQ36" s="376"/>
      <c r="AR36" s="376"/>
      <c r="AS36" s="376"/>
      <c r="AT36" s="377"/>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c r="BY36" s="10"/>
      <c r="BZ36" s="10"/>
      <c r="CA36" s="10"/>
      <c r="CB36" s="10"/>
    </row>
    <row r="37" spans="1:80" ht="15" thickBot="1" x14ac:dyDescent="0.25">
      <c r="A37" s="10"/>
      <c r="B37" s="343"/>
      <c r="C37" s="343"/>
      <c r="D37" s="344"/>
      <c r="E37" s="338"/>
      <c r="F37" s="339"/>
      <c r="G37" s="339"/>
      <c r="H37" s="339"/>
      <c r="I37" s="339"/>
      <c r="J37" s="297"/>
      <c r="K37" s="298"/>
      <c r="L37" s="298"/>
      <c r="M37" s="298"/>
      <c r="N37" s="298"/>
      <c r="O37" s="299"/>
      <c r="P37" s="307"/>
      <c r="Q37" s="307"/>
      <c r="R37" s="307"/>
      <c r="S37" s="307"/>
      <c r="T37" s="307"/>
      <c r="U37" s="308"/>
      <c r="V37" s="306"/>
      <c r="W37" s="307"/>
      <c r="X37" s="307"/>
      <c r="Y37" s="307"/>
      <c r="Z37" s="307"/>
      <c r="AA37" s="308"/>
      <c r="AB37" s="325"/>
      <c r="AC37" s="326"/>
      <c r="AD37" s="326"/>
      <c r="AE37" s="326"/>
      <c r="AF37" s="326"/>
      <c r="AG37" s="327"/>
      <c r="AH37" s="315"/>
      <c r="AI37" s="316"/>
      <c r="AJ37" s="316"/>
      <c r="AK37" s="316"/>
      <c r="AL37" s="316"/>
      <c r="AM37" s="317"/>
      <c r="AN37" s="10"/>
      <c r="AO37" s="378"/>
      <c r="AP37" s="379"/>
      <c r="AQ37" s="379"/>
      <c r="AR37" s="379"/>
      <c r="AS37" s="379"/>
      <c r="AT37" s="380"/>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c r="BY37" s="10"/>
      <c r="BZ37" s="10"/>
      <c r="CA37" s="10"/>
      <c r="CB37" s="10"/>
    </row>
    <row r="38" spans="1:80" x14ac:dyDescent="0.2">
      <c r="A38" s="10"/>
      <c r="B38" s="343"/>
      <c r="C38" s="343"/>
      <c r="D38" s="344"/>
      <c r="E38" s="332" t="s">
        <v>106</v>
      </c>
      <c r="F38" s="333"/>
      <c r="G38" s="333"/>
      <c r="H38" s="333"/>
      <c r="I38" s="334"/>
      <c r="J38" s="300" t="str">
        <f>IF(AND('Mapa DIGSA'!$M$12="Muy Baja",'Mapa DIGSA'!$Q$12="Leve"),CONCATENATE("R",'Mapa DIGSA'!$A$12),"")</f>
        <v/>
      </c>
      <c r="K38" s="301"/>
      <c r="L38" s="301" t="str">
        <f>IF(AND('Mapa DIGSA'!$M$18="Muy Baja",'Mapa DIGSA'!$Q$18="Leve"),CONCATENATE("R",'Mapa DIGSA'!$A$18),"")</f>
        <v/>
      </c>
      <c r="M38" s="301"/>
      <c r="N38" s="301" t="str">
        <f>IF(AND('Mapa DIGSA'!$M$24="Muy Baja",'Mapa DIGSA'!$Q$24="Leve"),CONCATENATE("R",'Mapa DIGSA'!$A$24),"")</f>
        <v/>
      </c>
      <c r="O38" s="302"/>
      <c r="P38" s="300" t="str">
        <f>IF(AND('Mapa DIGSA'!$M$12="Muy Baja",'Mapa DIGSA'!$Q$12="Menor"),CONCATENATE("R",'Mapa DIGSA'!$A$12),"")</f>
        <v/>
      </c>
      <c r="Q38" s="301"/>
      <c r="R38" s="301" t="str">
        <f>IF(AND('Mapa DIGSA'!$M$18="Muy Baja",'Mapa DIGSA'!$Q$18="Menor"),CONCATENATE("R",'Mapa DIGSA'!$A$18),"")</f>
        <v/>
      </c>
      <c r="S38" s="301"/>
      <c r="T38" s="301" t="str">
        <f>IF(AND('Mapa DIGSA'!$M$24="Muy Baja",'Mapa DIGSA'!$Q$24="Menor"),CONCATENATE("R",'Mapa DIGSA'!$A$24),"")</f>
        <v/>
      </c>
      <c r="U38" s="302"/>
      <c r="V38" s="309" t="str">
        <f>IF(AND('Mapa DIGSA'!$M$12="Muy Baja",'Mapa DIGSA'!$Q$12="Moderado"),CONCATENATE("R",'Mapa DIGSA'!$A$12),"")</f>
        <v/>
      </c>
      <c r="W38" s="310"/>
      <c r="X38" s="310" t="str">
        <f>IF(AND('Mapa DIGSA'!$M$18="Muy Baja",'Mapa DIGSA'!$Q$18="Moderado"),CONCATENATE("R",'Mapa DIGSA'!$A$18),"")</f>
        <v/>
      </c>
      <c r="Y38" s="310"/>
      <c r="Z38" s="310" t="str">
        <f>IF(AND('Mapa DIGSA'!$M$24="Muy Baja",'Mapa DIGSA'!$Q$24="Moderado"),CONCATENATE("R",'Mapa DIGSA'!$A$24),"")</f>
        <v/>
      </c>
      <c r="AA38" s="311"/>
      <c r="AB38" s="328" t="str">
        <f>IF(AND('Mapa DIGSA'!$M$12="Muy Baja",'Mapa DIGSA'!$Q$12="Mayor"),CONCATENATE("R",'Mapa DIGSA'!$A$12),"")</f>
        <v/>
      </c>
      <c r="AC38" s="329"/>
      <c r="AD38" s="329" t="str">
        <f>IF(AND('Mapa DIGSA'!$M$18="Muy Baja",'Mapa DIGSA'!$Q$18="Mayor"),CONCATENATE("R",'Mapa DIGSA'!$A$18),"")</f>
        <v/>
      </c>
      <c r="AE38" s="329"/>
      <c r="AF38" s="329" t="str">
        <f>IF(AND('Mapa DIGSA'!$M$24="Muy Baja",'Mapa DIGSA'!$Q$24="Mayor"),CONCATENATE("R",'Mapa DIGSA'!$A$24),"")</f>
        <v/>
      </c>
      <c r="AG38" s="330"/>
      <c r="AH38" s="318" t="str">
        <f>IF(AND('Mapa DIGSA'!$M$12="Muy Baja",'Mapa DIGSA'!$Q$12="Catastrófico"),CONCATENATE("R",'Mapa DIGSA'!$A$12),"")</f>
        <v/>
      </c>
      <c r="AI38" s="319"/>
      <c r="AJ38" s="319" t="str">
        <f>IF(AND('Mapa DIGSA'!$M$18="Muy Baja",'Mapa DIGSA'!$Q$18="Catastrófico"),CONCATENATE("R",'Mapa DIGSA'!$A$18),"")</f>
        <v/>
      </c>
      <c r="AK38" s="319"/>
      <c r="AL38" s="319" t="str">
        <f>IF(AND('Mapa DIGSA'!$M$24="Muy Baja",'Mapa DIGSA'!$Q$24="Catastrófico"),CONCATENATE("R",'Mapa DIGSA'!$A$24),"")</f>
        <v/>
      </c>
      <c r="AM38" s="320"/>
      <c r="AN38" s="10"/>
      <c r="AO38" s="10"/>
      <c r="AP38" s="10"/>
      <c r="AQ38" s="10"/>
      <c r="AR38" s="10"/>
      <c r="AS38" s="10"/>
      <c r="AT38" s="10"/>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c r="BY38" s="10"/>
      <c r="BZ38" s="10"/>
      <c r="CA38" s="10"/>
      <c r="CB38" s="10"/>
    </row>
    <row r="39" spans="1:80" x14ac:dyDescent="0.2">
      <c r="A39" s="10"/>
      <c r="B39" s="343"/>
      <c r="C39" s="343"/>
      <c r="D39" s="344"/>
      <c r="E39" s="335"/>
      <c r="F39" s="341"/>
      <c r="G39" s="341"/>
      <c r="H39" s="341"/>
      <c r="I39" s="337"/>
      <c r="J39" s="294"/>
      <c r="K39" s="295"/>
      <c r="L39" s="295"/>
      <c r="M39" s="295"/>
      <c r="N39" s="295"/>
      <c r="O39" s="296"/>
      <c r="P39" s="294"/>
      <c r="Q39" s="295"/>
      <c r="R39" s="295"/>
      <c r="S39" s="295"/>
      <c r="T39" s="295"/>
      <c r="U39" s="296"/>
      <c r="V39" s="303"/>
      <c r="W39" s="304"/>
      <c r="X39" s="304"/>
      <c r="Y39" s="304"/>
      <c r="Z39" s="304"/>
      <c r="AA39" s="305"/>
      <c r="AB39" s="321"/>
      <c r="AC39" s="322"/>
      <c r="AD39" s="322"/>
      <c r="AE39" s="322"/>
      <c r="AF39" s="322"/>
      <c r="AG39" s="324"/>
      <c r="AH39" s="312"/>
      <c r="AI39" s="313"/>
      <c r="AJ39" s="313"/>
      <c r="AK39" s="313"/>
      <c r="AL39" s="313"/>
      <c r="AM39" s="314"/>
      <c r="AN39" s="10"/>
      <c r="AO39" s="10"/>
      <c r="AP39" s="10"/>
      <c r="AQ39" s="10"/>
      <c r="AR39" s="10"/>
      <c r="AS39" s="10"/>
      <c r="AT39" s="10"/>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row>
    <row r="40" spans="1:80" x14ac:dyDescent="0.2">
      <c r="A40" s="10"/>
      <c r="B40" s="343"/>
      <c r="C40" s="343"/>
      <c r="D40" s="344"/>
      <c r="E40" s="335"/>
      <c r="F40" s="341"/>
      <c r="G40" s="341"/>
      <c r="H40" s="341"/>
      <c r="I40" s="337"/>
      <c r="J40" s="294" t="str">
        <f>IF(AND('Mapa DIGSA'!$M$30="Muy Baja",'Mapa DIGSA'!$Q$30="Leve"),CONCATENATE("R",'Mapa DIGSA'!$A$30),"")</f>
        <v/>
      </c>
      <c r="K40" s="295"/>
      <c r="L40" s="295" t="str">
        <f>IF(AND('Mapa DIGSA'!$M$36="Muy Baja",'Mapa DIGSA'!$Q$36="Leve"),CONCATENATE("R",'Mapa DIGSA'!$A$36),"")</f>
        <v/>
      </c>
      <c r="M40" s="295"/>
      <c r="N40" s="295" t="str">
        <f>IF(AND('Mapa DIGSA'!$M$42="Muy Baja",'Mapa DIGSA'!$Q$42="Leve"),CONCATENATE("R",'Mapa DIGSA'!$A$42),"")</f>
        <v/>
      </c>
      <c r="O40" s="296"/>
      <c r="P40" s="294" t="str">
        <f>IF(AND('Mapa DIGSA'!$M$30="Muy Baja",'Mapa DIGSA'!$Q$30="Menor"),CONCATENATE("R",'Mapa DIGSA'!$A$30),"")</f>
        <v/>
      </c>
      <c r="Q40" s="295"/>
      <c r="R40" s="295" t="str">
        <f>IF(AND('Mapa DIGSA'!$M$36="Muy Baja",'Mapa DIGSA'!$Q$36="Menor"),CONCATENATE("R",'Mapa DIGSA'!$A$36),"")</f>
        <v/>
      </c>
      <c r="S40" s="295"/>
      <c r="T40" s="295" t="str">
        <f>IF(AND('Mapa DIGSA'!$M$42="Muy Baja",'Mapa DIGSA'!$Q$42="Menor"),CONCATENATE("R",'Mapa DIGSA'!$A$42),"")</f>
        <v/>
      </c>
      <c r="U40" s="296"/>
      <c r="V40" s="303" t="str">
        <f>IF(AND('Mapa DIGSA'!$M$30="Muy Baja",'Mapa DIGSA'!$Q$30="Moderado"),CONCATENATE("R",'Mapa DIGSA'!$A$30),"")</f>
        <v/>
      </c>
      <c r="W40" s="304"/>
      <c r="X40" s="304" t="str">
        <f>IF(AND('Mapa DIGSA'!$M$36="Muy Baja",'Mapa DIGSA'!$Q$36="Moderado"),CONCATENATE("R",'Mapa DIGSA'!$A$36),"")</f>
        <v/>
      </c>
      <c r="Y40" s="304"/>
      <c r="Z40" s="304" t="str">
        <f>IF(AND('Mapa DIGSA'!$M$42="Muy Baja",'Mapa DIGSA'!$Q$42="Moderado"),CONCATENATE("R",'Mapa DIGSA'!$A$42),"")</f>
        <v/>
      </c>
      <c r="AA40" s="305"/>
      <c r="AB40" s="321" t="str">
        <f>IF(AND('Mapa DIGSA'!$M$30="Muy Baja",'Mapa DIGSA'!$Q$30="Mayor"),CONCATENATE("R",'Mapa DIGSA'!$A$30),"")</f>
        <v/>
      </c>
      <c r="AC40" s="322"/>
      <c r="AD40" s="323" t="str">
        <f>IF(AND('Mapa DIGSA'!$M$36="Muy Baja",'Mapa DIGSA'!$Q$36="Mayor"),CONCATENATE("R",'Mapa DIGSA'!$A$36),"")</f>
        <v/>
      </c>
      <c r="AE40" s="323"/>
      <c r="AF40" s="323" t="str">
        <f>IF(AND('Mapa DIGSA'!$M$42="Muy Baja",'Mapa DIGSA'!$Q$42="Mayor"),CONCATENATE("R",'Mapa DIGSA'!$A$42),"")</f>
        <v/>
      </c>
      <c r="AG40" s="324"/>
      <c r="AH40" s="312" t="str">
        <f>IF(AND('Mapa DIGSA'!$M$30="Muy Baja",'Mapa DIGSA'!$Q$30="Catastrófico"),CONCATENATE("R",'Mapa DIGSA'!$A$30),"")</f>
        <v/>
      </c>
      <c r="AI40" s="313"/>
      <c r="AJ40" s="313" t="str">
        <f>IF(AND('Mapa DIGSA'!$M$36="Muy Baja",'Mapa DIGSA'!$Q$36="Catastrófico"),CONCATENATE("R",'Mapa DIGSA'!$A$36),"")</f>
        <v/>
      </c>
      <c r="AK40" s="313"/>
      <c r="AL40" s="313" t="str">
        <f>IF(AND('Mapa DIGSA'!$M$42="Muy Baja",'Mapa DIGSA'!$Q$42="Catastrófico"),CONCATENATE("R",'Mapa DIGSA'!$A$42),"")</f>
        <v/>
      </c>
      <c r="AM40" s="314"/>
      <c r="AN40" s="10"/>
      <c r="AO40" s="10"/>
      <c r="AP40" s="10"/>
      <c r="AQ40" s="10"/>
      <c r="AR40" s="10"/>
      <c r="AS40" s="10"/>
      <c r="AT40" s="10"/>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c r="BY40" s="10"/>
      <c r="BZ40" s="10"/>
      <c r="CA40" s="10"/>
      <c r="CB40" s="10"/>
    </row>
    <row r="41" spans="1:80" x14ac:dyDescent="0.2">
      <c r="A41" s="10"/>
      <c r="B41" s="343"/>
      <c r="C41" s="343"/>
      <c r="D41" s="344"/>
      <c r="E41" s="335"/>
      <c r="F41" s="341"/>
      <c r="G41" s="341"/>
      <c r="H41" s="341"/>
      <c r="I41" s="337"/>
      <c r="J41" s="294"/>
      <c r="K41" s="295"/>
      <c r="L41" s="295"/>
      <c r="M41" s="295"/>
      <c r="N41" s="295"/>
      <c r="O41" s="296"/>
      <c r="P41" s="294"/>
      <c r="Q41" s="295"/>
      <c r="R41" s="295"/>
      <c r="S41" s="295"/>
      <c r="T41" s="295"/>
      <c r="U41" s="296"/>
      <c r="V41" s="303"/>
      <c r="W41" s="304"/>
      <c r="X41" s="304"/>
      <c r="Y41" s="304"/>
      <c r="Z41" s="304"/>
      <c r="AA41" s="305"/>
      <c r="AB41" s="321"/>
      <c r="AC41" s="322"/>
      <c r="AD41" s="323"/>
      <c r="AE41" s="323"/>
      <c r="AF41" s="323"/>
      <c r="AG41" s="324"/>
      <c r="AH41" s="312"/>
      <c r="AI41" s="313"/>
      <c r="AJ41" s="313"/>
      <c r="AK41" s="313"/>
      <c r="AL41" s="313"/>
      <c r="AM41" s="314"/>
      <c r="AN41" s="10"/>
      <c r="AO41" s="10"/>
      <c r="AP41" s="10"/>
      <c r="AQ41" s="10"/>
      <c r="AR41" s="10"/>
      <c r="AS41" s="10"/>
      <c r="AT41" s="10"/>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c r="BY41" s="10"/>
      <c r="BZ41" s="10"/>
      <c r="CA41" s="10"/>
      <c r="CB41" s="10"/>
    </row>
    <row r="42" spans="1:80" x14ac:dyDescent="0.2">
      <c r="A42" s="10"/>
      <c r="B42" s="343"/>
      <c r="C42" s="343"/>
      <c r="D42" s="344"/>
      <c r="E42" s="335"/>
      <c r="F42" s="341"/>
      <c r="G42" s="341"/>
      <c r="H42" s="341"/>
      <c r="I42" s="337"/>
      <c r="J42" s="294" t="str">
        <f>IF(AND('Mapa DIGSA'!$M$48="Muy Baja",'Mapa DIGSA'!$Q$48="Leve"),CONCATENATE("R",'Mapa DIGSA'!$A$48),"")</f>
        <v/>
      </c>
      <c r="K42" s="295"/>
      <c r="L42" s="295" t="str">
        <f>IF(AND('Mapa DIGSA'!$M$54="Muy Baja",'Mapa DIGSA'!$Q$54="Leve"),CONCATENATE("R",'Mapa DIGSA'!$A$54),"")</f>
        <v/>
      </c>
      <c r="M42" s="295"/>
      <c r="N42" s="295" t="str">
        <f>IF(AND('Mapa DIGSA'!$M$60="Muy Baja",'Mapa DIGSA'!$Q$60="Leve"),CONCATENATE("R",'Mapa DIGSA'!$A$60),"")</f>
        <v/>
      </c>
      <c r="O42" s="296"/>
      <c r="P42" s="294" t="str">
        <f>IF(AND('Mapa DIGSA'!$M$48="Muy Baja",'Mapa DIGSA'!$Q$48="Menor"),CONCATENATE("R",'Mapa DIGSA'!$A$48),"")</f>
        <v/>
      </c>
      <c r="Q42" s="295"/>
      <c r="R42" s="295" t="str">
        <f>IF(AND('Mapa DIGSA'!$M$54="Muy Baja",'Mapa DIGSA'!$Q$54="Menor"),CONCATENATE("R",'Mapa DIGSA'!$A$54),"")</f>
        <v/>
      </c>
      <c r="S42" s="295"/>
      <c r="T42" s="295" t="str">
        <f>IF(AND('Mapa DIGSA'!$M$60="Muy Baja",'Mapa DIGSA'!$Q$60="Menor"),CONCATENATE("R",'Mapa DIGSA'!$A$60),"")</f>
        <v/>
      </c>
      <c r="U42" s="296"/>
      <c r="V42" s="303" t="str">
        <f>IF(AND('Mapa DIGSA'!$M$48="Muy Baja",'Mapa DIGSA'!$Q$48="Moderado"),CONCATENATE("R",'Mapa DIGSA'!$A$48),"")</f>
        <v/>
      </c>
      <c r="W42" s="304"/>
      <c r="X42" s="304" t="str">
        <f>IF(AND('Mapa DIGSA'!$M$54="Muy Baja",'Mapa DIGSA'!$Q$54="Moderado"),CONCATENATE("R",'Mapa DIGSA'!$A$54),"")</f>
        <v/>
      </c>
      <c r="Y42" s="304"/>
      <c r="Z42" s="304" t="str">
        <f>IF(AND('Mapa DIGSA'!$M$60="Muy Baja",'Mapa DIGSA'!$Q$60="Moderado"),CONCATENATE("R",'Mapa DIGSA'!$A$60),"")</f>
        <v/>
      </c>
      <c r="AA42" s="305"/>
      <c r="AB42" s="321" t="str">
        <f>IF(AND('Mapa DIGSA'!$M$48="Muy Baja",'Mapa DIGSA'!$Q$48="Mayor"),CONCATENATE("R",'Mapa DIGSA'!$A$48),"")</f>
        <v/>
      </c>
      <c r="AC42" s="322"/>
      <c r="AD42" s="323" t="str">
        <f>IF(AND('Mapa DIGSA'!$M$54="Muy Baja",'Mapa DIGSA'!$Q$54="Mayor"),CONCATENATE("R",'Mapa DIGSA'!$A$54),"")</f>
        <v/>
      </c>
      <c r="AE42" s="323"/>
      <c r="AF42" s="323" t="str">
        <f>IF(AND('Mapa DIGSA'!$M$60="Muy Baja",'Mapa DIGSA'!$Q$60="Mayor"),CONCATENATE("R",'Mapa DIGSA'!$A$60),"")</f>
        <v/>
      </c>
      <c r="AG42" s="324"/>
      <c r="AH42" s="312" t="str">
        <f>IF(AND('Mapa DIGSA'!$M$48="Muy Baja",'Mapa DIGSA'!$Q$48="Catastrófico"),CONCATENATE("R",'Mapa DIGSA'!$A$48),"")</f>
        <v/>
      </c>
      <c r="AI42" s="313"/>
      <c r="AJ42" s="313" t="str">
        <f>IF(AND('Mapa DIGSA'!$M$54="Muy Baja",'Mapa DIGSA'!$Q$54="Catastrófico"),CONCATENATE("R",'Mapa DIGSA'!$A$54),"")</f>
        <v/>
      </c>
      <c r="AK42" s="313"/>
      <c r="AL42" s="313" t="str">
        <f>IF(AND('Mapa DIGSA'!$M$60="Muy Baja",'Mapa DIGSA'!$Q$60="Catastrófico"),CONCATENATE("R",'Mapa DIGSA'!$A$60),"")</f>
        <v/>
      </c>
      <c r="AM42" s="314"/>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row>
    <row r="43" spans="1:80" x14ac:dyDescent="0.2">
      <c r="A43" s="10"/>
      <c r="B43" s="343"/>
      <c r="C43" s="343"/>
      <c r="D43" s="344"/>
      <c r="E43" s="335"/>
      <c r="F43" s="341"/>
      <c r="G43" s="341"/>
      <c r="H43" s="341"/>
      <c r="I43" s="337"/>
      <c r="J43" s="294"/>
      <c r="K43" s="295"/>
      <c r="L43" s="295"/>
      <c r="M43" s="295"/>
      <c r="N43" s="295"/>
      <c r="O43" s="296"/>
      <c r="P43" s="294"/>
      <c r="Q43" s="295"/>
      <c r="R43" s="295"/>
      <c r="S43" s="295"/>
      <c r="T43" s="295"/>
      <c r="U43" s="296"/>
      <c r="V43" s="303"/>
      <c r="W43" s="304"/>
      <c r="X43" s="304"/>
      <c r="Y43" s="304"/>
      <c r="Z43" s="304"/>
      <c r="AA43" s="305"/>
      <c r="AB43" s="321"/>
      <c r="AC43" s="322"/>
      <c r="AD43" s="323"/>
      <c r="AE43" s="323"/>
      <c r="AF43" s="323"/>
      <c r="AG43" s="324"/>
      <c r="AH43" s="312"/>
      <c r="AI43" s="313"/>
      <c r="AJ43" s="313"/>
      <c r="AK43" s="313"/>
      <c r="AL43" s="313"/>
      <c r="AM43" s="314"/>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row>
    <row r="44" spans="1:80" x14ac:dyDescent="0.2">
      <c r="A44" s="10"/>
      <c r="B44" s="343"/>
      <c r="C44" s="343"/>
      <c r="D44" s="344"/>
      <c r="E44" s="335"/>
      <c r="F44" s="341"/>
      <c r="G44" s="341"/>
      <c r="H44" s="341"/>
      <c r="I44" s="337"/>
      <c r="J44" s="294" t="str">
        <f>IF(AND('Mapa DIGSA'!$M$66="Muy Baja",'Mapa DIGSA'!$Q$66="Leve"),CONCATENATE("R",'Mapa DIGSA'!$A$66),"")</f>
        <v/>
      </c>
      <c r="K44" s="295"/>
      <c r="L44" s="295" t="e">
        <f>IF(AND('Mapa DIGSA'!#REF!="Muy Baja",'Mapa DIGSA'!#REF!="Leve"),CONCATENATE("R",'Mapa DIGSA'!#REF!),"")</f>
        <v>#REF!</v>
      </c>
      <c r="M44" s="295"/>
      <c r="N44" s="295" t="e">
        <f>IF(AND('Mapa DIGSA'!#REF!="Muy Baja",'Mapa DIGSA'!#REF!="Leve"),CONCATENATE("R",'Mapa DIGSA'!#REF!),"")</f>
        <v>#REF!</v>
      </c>
      <c r="O44" s="296"/>
      <c r="P44" s="294" t="str">
        <f>IF(AND('Mapa DIGSA'!$M$66="Muy Baja",'Mapa DIGSA'!$Q$66="Menor"),CONCATENATE("R",'Mapa DIGSA'!$A$66),"")</f>
        <v/>
      </c>
      <c r="Q44" s="295"/>
      <c r="R44" s="295" t="e">
        <f>IF(AND('Mapa DIGSA'!#REF!="Muy Baja",'Mapa DIGSA'!#REF!="Menor"),CONCATENATE("R",'Mapa DIGSA'!#REF!),"")</f>
        <v>#REF!</v>
      </c>
      <c r="S44" s="295"/>
      <c r="T44" s="295" t="e">
        <f>IF(AND('Mapa DIGSA'!#REF!="Muy Baja",'Mapa DIGSA'!#REF!="Menor"),CONCATENATE("R",'Mapa DIGSA'!#REF!),"")</f>
        <v>#REF!</v>
      </c>
      <c r="U44" s="296"/>
      <c r="V44" s="303" t="str">
        <f>IF(AND('Mapa DIGSA'!$M$66="Muy Baja",'Mapa DIGSA'!$Q$66="Moderado"),CONCATENATE("R",'Mapa DIGSA'!$A$66),"")</f>
        <v/>
      </c>
      <c r="W44" s="304"/>
      <c r="X44" s="304" t="e">
        <f>IF(AND('Mapa DIGSA'!#REF!="Muy Baja",'Mapa DIGSA'!#REF!="Moderado"),CONCATENATE("R",'Mapa DIGSA'!#REF!),"")</f>
        <v>#REF!</v>
      </c>
      <c r="Y44" s="304"/>
      <c r="Z44" s="304" t="e">
        <f>IF(AND('Mapa DIGSA'!#REF!="Muy Baja",'Mapa DIGSA'!#REF!="Moderado"),CONCATENATE("R",'Mapa DIGSA'!#REF!),"")</f>
        <v>#REF!</v>
      </c>
      <c r="AA44" s="305"/>
      <c r="AB44" s="321" t="str">
        <f>IF(AND('Mapa DIGSA'!$M$66="Muy Baja",'Mapa DIGSA'!$Q$66="Mayor"),CONCATENATE("R",'Mapa DIGSA'!$A$66),"")</f>
        <v/>
      </c>
      <c r="AC44" s="322"/>
      <c r="AD44" s="323" t="e">
        <f>IF(AND('Mapa DIGSA'!#REF!="Muy Baja",'Mapa DIGSA'!#REF!="Mayor"),CONCATENATE("R",'Mapa DIGSA'!#REF!),"")</f>
        <v>#REF!</v>
      </c>
      <c r="AE44" s="323"/>
      <c r="AF44" s="323" t="e">
        <f>IF(AND('Mapa DIGSA'!#REF!="Muy Baja",'Mapa DIGSA'!#REF!="Mayor"),CONCATENATE("R",'Mapa DIGSA'!#REF!),"")</f>
        <v>#REF!</v>
      </c>
      <c r="AG44" s="324"/>
      <c r="AH44" s="312" t="str">
        <f>IF(AND('Mapa DIGSA'!$M$66="Muy Baja",'Mapa DIGSA'!$Q$66="Catastrófico"),CONCATENATE("R",'Mapa DIGSA'!$A$66),"")</f>
        <v/>
      </c>
      <c r="AI44" s="313"/>
      <c r="AJ44" s="313" t="e">
        <f>IF(AND('Mapa DIGSA'!#REF!="Muy Baja",'Mapa DIGSA'!#REF!="Catastrófico"),CONCATENATE("R",'Mapa DIGSA'!#REF!),"")</f>
        <v>#REF!</v>
      </c>
      <c r="AK44" s="313"/>
      <c r="AL44" s="313" t="e">
        <f>IF(AND('Mapa DIGSA'!#REF!="Muy Baja",'Mapa DIGSA'!#REF!="Catastrófico"),CONCATENATE("R",'Mapa DIGSA'!#REF!),"")</f>
        <v>#REF!</v>
      </c>
      <c r="AM44" s="314"/>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row>
    <row r="45" spans="1:80" ht="15" thickBot="1" x14ac:dyDescent="0.25">
      <c r="A45" s="10"/>
      <c r="B45" s="343"/>
      <c r="C45" s="343"/>
      <c r="D45" s="344"/>
      <c r="E45" s="338"/>
      <c r="F45" s="339"/>
      <c r="G45" s="339"/>
      <c r="H45" s="339"/>
      <c r="I45" s="340"/>
      <c r="J45" s="297"/>
      <c r="K45" s="298"/>
      <c r="L45" s="298"/>
      <c r="M45" s="298"/>
      <c r="N45" s="298"/>
      <c r="O45" s="299"/>
      <c r="P45" s="297"/>
      <c r="Q45" s="298"/>
      <c r="R45" s="298"/>
      <c r="S45" s="298"/>
      <c r="T45" s="298"/>
      <c r="U45" s="299"/>
      <c r="V45" s="306"/>
      <c r="W45" s="307"/>
      <c r="X45" s="307"/>
      <c r="Y45" s="307"/>
      <c r="Z45" s="307"/>
      <c r="AA45" s="308"/>
      <c r="AB45" s="325"/>
      <c r="AC45" s="326"/>
      <c r="AD45" s="326"/>
      <c r="AE45" s="326"/>
      <c r="AF45" s="326"/>
      <c r="AG45" s="327"/>
      <c r="AH45" s="315"/>
      <c r="AI45" s="316"/>
      <c r="AJ45" s="316"/>
      <c r="AK45" s="316"/>
      <c r="AL45" s="316"/>
      <c r="AM45" s="317"/>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row>
    <row r="46" spans="1:80" x14ac:dyDescent="0.2">
      <c r="A46" s="10"/>
      <c r="B46" s="10"/>
      <c r="C46" s="10"/>
      <c r="D46" s="10"/>
      <c r="E46" s="10"/>
      <c r="F46" s="10"/>
      <c r="G46" s="10"/>
      <c r="H46" s="10"/>
      <c r="I46" s="10"/>
      <c r="J46" s="332" t="s">
        <v>105</v>
      </c>
      <c r="K46" s="333"/>
      <c r="L46" s="333"/>
      <c r="M46" s="333"/>
      <c r="N46" s="333"/>
      <c r="O46" s="334"/>
      <c r="P46" s="332" t="s">
        <v>104</v>
      </c>
      <c r="Q46" s="333"/>
      <c r="R46" s="333"/>
      <c r="S46" s="333"/>
      <c r="T46" s="333"/>
      <c r="U46" s="334"/>
      <c r="V46" s="332" t="s">
        <v>103</v>
      </c>
      <c r="W46" s="333"/>
      <c r="X46" s="333"/>
      <c r="Y46" s="333"/>
      <c r="Z46" s="333"/>
      <c r="AA46" s="334"/>
      <c r="AB46" s="332" t="s">
        <v>102</v>
      </c>
      <c r="AC46" s="342"/>
      <c r="AD46" s="333"/>
      <c r="AE46" s="333"/>
      <c r="AF46" s="333"/>
      <c r="AG46" s="334"/>
      <c r="AH46" s="332" t="s">
        <v>101</v>
      </c>
      <c r="AI46" s="333"/>
      <c r="AJ46" s="333"/>
      <c r="AK46" s="333"/>
      <c r="AL46" s="333"/>
      <c r="AM46" s="334"/>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x14ac:dyDescent="0.2">
      <c r="A47" s="10"/>
      <c r="B47" s="10"/>
      <c r="C47" s="10"/>
      <c r="D47" s="10"/>
      <c r="E47" s="10"/>
      <c r="F47" s="10"/>
      <c r="G47" s="10"/>
      <c r="H47" s="10"/>
      <c r="I47" s="10"/>
      <c r="J47" s="335"/>
      <c r="K47" s="341"/>
      <c r="L47" s="341"/>
      <c r="M47" s="341"/>
      <c r="N47" s="341"/>
      <c r="O47" s="337"/>
      <c r="P47" s="335"/>
      <c r="Q47" s="341"/>
      <c r="R47" s="341"/>
      <c r="S47" s="341"/>
      <c r="T47" s="341"/>
      <c r="U47" s="337"/>
      <c r="V47" s="335"/>
      <c r="W47" s="341"/>
      <c r="X47" s="341"/>
      <c r="Y47" s="341"/>
      <c r="Z47" s="341"/>
      <c r="AA47" s="337"/>
      <c r="AB47" s="335"/>
      <c r="AC47" s="341"/>
      <c r="AD47" s="341"/>
      <c r="AE47" s="341"/>
      <c r="AF47" s="341"/>
      <c r="AG47" s="337"/>
      <c r="AH47" s="335"/>
      <c r="AI47" s="341"/>
      <c r="AJ47" s="341"/>
      <c r="AK47" s="341"/>
      <c r="AL47" s="341"/>
      <c r="AM47" s="337"/>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x14ac:dyDescent="0.2">
      <c r="A48" s="10"/>
      <c r="B48" s="10"/>
      <c r="C48" s="10"/>
      <c r="D48" s="10"/>
      <c r="E48" s="10"/>
      <c r="F48" s="10"/>
      <c r="G48" s="10"/>
      <c r="H48" s="10"/>
      <c r="I48" s="10"/>
      <c r="J48" s="335"/>
      <c r="K48" s="341"/>
      <c r="L48" s="341"/>
      <c r="M48" s="341"/>
      <c r="N48" s="341"/>
      <c r="O48" s="337"/>
      <c r="P48" s="335"/>
      <c r="Q48" s="341"/>
      <c r="R48" s="341"/>
      <c r="S48" s="341"/>
      <c r="T48" s="341"/>
      <c r="U48" s="337"/>
      <c r="V48" s="335"/>
      <c r="W48" s="341"/>
      <c r="X48" s="341"/>
      <c r="Y48" s="341"/>
      <c r="Z48" s="341"/>
      <c r="AA48" s="337"/>
      <c r="AB48" s="335"/>
      <c r="AC48" s="341"/>
      <c r="AD48" s="341"/>
      <c r="AE48" s="341"/>
      <c r="AF48" s="341"/>
      <c r="AG48" s="337"/>
      <c r="AH48" s="335"/>
      <c r="AI48" s="341"/>
      <c r="AJ48" s="341"/>
      <c r="AK48" s="341"/>
      <c r="AL48" s="341"/>
      <c r="AM48" s="337"/>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x14ac:dyDescent="0.2">
      <c r="A49" s="10"/>
      <c r="B49" s="10"/>
      <c r="C49" s="10"/>
      <c r="D49" s="10"/>
      <c r="E49" s="10"/>
      <c r="F49" s="10"/>
      <c r="G49" s="10"/>
      <c r="H49" s="10"/>
      <c r="I49" s="10"/>
      <c r="J49" s="335"/>
      <c r="K49" s="341"/>
      <c r="L49" s="341"/>
      <c r="M49" s="341"/>
      <c r="N49" s="341"/>
      <c r="O49" s="337"/>
      <c r="P49" s="335"/>
      <c r="Q49" s="341"/>
      <c r="R49" s="341"/>
      <c r="S49" s="341"/>
      <c r="T49" s="341"/>
      <c r="U49" s="337"/>
      <c r="V49" s="335"/>
      <c r="W49" s="341"/>
      <c r="X49" s="341"/>
      <c r="Y49" s="341"/>
      <c r="Z49" s="341"/>
      <c r="AA49" s="337"/>
      <c r="AB49" s="335"/>
      <c r="AC49" s="341"/>
      <c r="AD49" s="341"/>
      <c r="AE49" s="341"/>
      <c r="AF49" s="341"/>
      <c r="AG49" s="337"/>
      <c r="AH49" s="335"/>
      <c r="AI49" s="341"/>
      <c r="AJ49" s="341"/>
      <c r="AK49" s="341"/>
      <c r="AL49" s="341"/>
      <c r="AM49" s="337"/>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x14ac:dyDescent="0.2">
      <c r="A50" s="10"/>
      <c r="B50" s="10"/>
      <c r="C50" s="10"/>
      <c r="D50" s="10"/>
      <c r="E50" s="10"/>
      <c r="F50" s="10"/>
      <c r="G50" s="10"/>
      <c r="H50" s="10"/>
      <c r="I50" s="10"/>
      <c r="J50" s="335"/>
      <c r="K50" s="341"/>
      <c r="L50" s="341"/>
      <c r="M50" s="341"/>
      <c r="N50" s="341"/>
      <c r="O50" s="337"/>
      <c r="P50" s="335"/>
      <c r="Q50" s="341"/>
      <c r="R50" s="341"/>
      <c r="S50" s="341"/>
      <c r="T50" s="341"/>
      <c r="U50" s="337"/>
      <c r="V50" s="335"/>
      <c r="W50" s="341"/>
      <c r="X50" s="341"/>
      <c r="Y50" s="341"/>
      <c r="Z50" s="341"/>
      <c r="AA50" s="337"/>
      <c r="AB50" s="335"/>
      <c r="AC50" s="341"/>
      <c r="AD50" s="341"/>
      <c r="AE50" s="341"/>
      <c r="AF50" s="341"/>
      <c r="AG50" s="337"/>
      <c r="AH50" s="335"/>
      <c r="AI50" s="341"/>
      <c r="AJ50" s="341"/>
      <c r="AK50" s="341"/>
      <c r="AL50" s="341"/>
      <c r="AM50" s="337"/>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thickBot="1" x14ac:dyDescent="0.25">
      <c r="A51" s="10"/>
      <c r="B51" s="10"/>
      <c r="C51" s="10"/>
      <c r="D51" s="10"/>
      <c r="E51" s="10"/>
      <c r="F51" s="10"/>
      <c r="G51" s="10"/>
      <c r="H51" s="10"/>
      <c r="I51" s="10"/>
      <c r="J51" s="338"/>
      <c r="K51" s="339"/>
      <c r="L51" s="339"/>
      <c r="M51" s="339"/>
      <c r="N51" s="339"/>
      <c r="O51" s="340"/>
      <c r="P51" s="338"/>
      <c r="Q51" s="339"/>
      <c r="R51" s="339"/>
      <c r="S51" s="339"/>
      <c r="T51" s="339"/>
      <c r="U51" s="340"/>
      <c r="V51" s="338"/>
      <c r="W51" s="339"/>
      <c r="X51" s="339"/>
      <c r="Y51" s="339"/>
      <c r="Z51" s="339"/>
      <c r="AA51" s="340"/>
      <c r="AB51" s="338"/>
      <c r="AC51" s="339"/>
      <c r="AD51" s="339"/>
      <c r="AE51" s="339"/>
      <c r="AF51" s="339"/>
      <c r="AG51" s="340"/>
      <c r="AH51" s="338"/>
      <c r="AI51" s="339"/>
      <c r="AJ51" s="339"/>
      <c r="AK51" s="339"/>
      <c r="AL51" s="339"/>
      <c r="AM51" s="34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
      <c r="A53" s="10"/>
      <c r="B53" s="38"/>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H53" s="38"/>
      <c r="AI53" s="38"/>
      <c r="AJ53" s="38"/>
      <c r="AK53" s="38"/>
      <c r="AL53" s="38"/>
      <c r="AM53" s="38"/>
      <c r="AN53" s="38"/>
      <c r="AO53" s="38"/>
      <c r="AP53" s="38"/>
      <c r="AQ53" s="38"/>
      <c r="AR53" s="38"/>
      <c r="AS53" s="38"/>
      <c r="AT53" s="38"/>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
      <c r="A54" s="10"/>
      <c r="B54" s="38"/>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H54" s="38"/>
      <c r="AI54" s="38"/>
      <c r="AJ54" s="38"/>
      <c r="AK54" s="38"/>
      <c r="AL54" s="38"/>
      <c r="AM54" s="38"/>
      <c r="AN54" s="38"/>
      <c r="AO54" s="38"/>
      <c r="AP54" s="38"/>
      <c r="AQ54" s="38"/>
      <c r="AR54" s="38"/>
      <c r="AS54" s="38"/>
      <c r="AT54" s="38"/>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x14ac:dyDescent="0.2">
      <c r="A55" s="10"/>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10"/>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c r="AL60" s="10"/>
      <c r="AM60" s="10"/>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x14ac:dyDescent="0.2">
      <c r="A61" s="10"/>
      <c r="B61" s="10"/>
      <c r="C61" s="10"/>
      <c r="D61" s="10"/>
      <c r="E61" s="10"/>
      <c r="F61" s="10"/>
      <c r="G61" s="10"/>
      <c r="H61" s="10"/>
      <c r="I61" s="10"/>
      <c r="J61" s="10"/>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c r="AL61" s="10"/>
      <c r="AM61" s="10"/>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c r="BI62" s="10"/>
      <c r="BJ62" s="10"/>
      <c r="BK62" s="10"/>
      <c r="BL62" s="10"/>
      <c r="BM62" s="10"/>
      <c r="BN62" s="10"/>
      <c r="BO62" s="10"/>
      <c r="BP62" s="10"/>
      <c r="BQ62" s="10"/>
      <c r="BR62" s="10"/>
      <c r="BS62" s="10"/>
      <c r="BT62" s="10"/>
      <c r="BU62" s="10"/>
      <c r="BV62" s="10"/>
      <c r="BW62" s="10"/>
      <c r="BX62" s="10"/>
      <c r="BY62" s="10"/>
      <c r="BZ62" s="10"/>
      <c r="CA62" s="10"/>
      <c r="CB62" s="10"/>
    </row>
    <row r="63" spans="1:80" x14ac:dyDescent="0.2">
      <c r="A63" s="10"/>
      <c r="B63" s="10"/>
      <c r="C63" s="10"/>
      <c r="D63" s="10"/>
      <c r="E63" s="10"/>
      <c r="F63" s="10"/>
      <c r="G63" s="10"/>
      <c r="H63" s="10"/>
      <c r="I63" s="10"/>
      <c r="J63" s="10"/>
      <c r="K63" s="10"/>
      <c r="L63" s="10"/>
      <c r="M63" s="10"/>
      <c r="N63" s="10"/>
      <c r="O63" s="10"/>
      <c r="P63" s="10"/>
      <c r="Q63" s="10"/>
      <c r="R63" s="10"/>
      <c r="S63" s="10"/>
      <c r="T63" s="10"/>
      <c r="U63" s="10"/>
      <c r="V63" s="10"/>
      <c r="W63" s="10"/>
      <c r="X63" s="10"/>
      <c r="Y63" s="10"/>
      <c r="Z63" s="10"/>
      <c r="AA63" s="10"/>
      <c r="AB63" s="10"/>
      <c r="AC63" s="10"/>
      <c r="AD63" s="10"/>
      <c r="AE63" s="10"/>
      <c r="AF63" s="10"/>
      <c r="AG63" s="10"/>
      <c r="AH63" s="10"/>
      <c r="AI63" s="10"/>
      <c r="AJ63" s="10"/>
      <c r="AK63" s="10"/>
      <c r="AL63" s="10"/>
      <c r="AM63" s="10"/>
      <c r="AN63" s="10"/>
      <c r="AO63" s="10"/>
      <c r="AP63" s="10"/>
      <c r="AQ63" s="10"/>
      <c r="AR63" s="10"/>
      <c r="AS63" s="10"/>
      <c r="AT63" s="10"/>
      <c r="AU63" s="10"/>
      <c r="AV63" s="10"/>
      <c r="AW63" s="10"/>
      <c r="AX63" s="10"/>
      <c r="AY63" s="10"/>
      <c r="AZ63" s="10"/>
      <c r="BA63" s="10"/>
      <c r="BB63" s="10"/>
      <c r="BC63" s="10"/>
      <c r="BD63" s="10"/>
      <c r="BE63" s="10"/>
      <c r="BF63" s="10"/>
      <c r="BG63" s="10"/>
      <c r="BH63" s="10"/>
      <c r="BI63" s="10"/>
      <c r="BJ63" s="10"/>
      <c r="BK63" s="10"/>
      <c r="BL63" s="10"/>
      <c r="BM63" s="10"/>
      <c r="BN63" s="10"/>
      <c r="BO63" s="10"/>
      <c r="BP63" s="10"/>
      <c r="BQ63" s="10"/>
      <c r="BR63" s="10"/>
      <c r="BS63" s="10"/>
      <c r="BT63" s="10"/>
      <c r="BU63" s="10"/>
      <c r="BV63" s="10"/>
      <c r="BW63" s="10"/>
      <c r="BX63" s="10"/>
      <c r="BY63" s="10"/>
      <c r="BZ63" s="10"/>
      <c r="CA63" s="10"/>
      <c r="CB63" s="10"/>
    </row>
    <row r="64" spans="1:80" x14ac:dyDescent="0.2">
      <c r="A64" s="10"/>
      <c r="B64" s="10"/>
      <c r="C64" s="10"/>
      <c r="D64" s="10"/>
      <c r="E64" s="10"/>
      <c r="F64" s="10"/>
      <c r="G64" s="10"/>
      <c r="H64" s="10"/>
      <c r="I64" s="10"/>
      <c r="J64" s="10"/>
      <c r="K64" s="10"/>
      <c r="L64" s="10"/>
      <c r="M64" s="10"/>
      <c r="N64" s="10"/>
      <c r="O64" s="10"/>
      <c r="P64" s="10"/>
      <c r="Q64" s="10"/>
      <c r="R64" s="10"/>
      <c r="S64" s="10"/>
      <c r="T64" s="10"/>
      <c r="U64" s="10"/>
      <c r="V64" s="10"/>
      <c r="W64" s="10"/>
      <c r="X64" s="10"/>
      <c r="Y64" s="10"/>
      <c r="Z64" s="10"/>
      <c r="AA64" s="10"/>
      <c r="AB64" s="10"/>
      <c r="AC64" s="10"/>
      <c r="AD64" s="10"/>
      <c r="AE64" s="10"/>
      <c r="AF64" s="10"/>
      <c r="AG64" s="10"/>
      <c r="AH64" s="10"/>
      <c r="AI64" s="10"/>
      <c r="AJ64" s="10"/>
      <c r="AK64" s="10"/>
      <c r="AL64" s="10"/>
      <c r="AM64" s="10"/>
      <c r="AN64" s="10"/>
      <c r="AO64" s="10"/>
      <c r="AP64" s="10"/>
      <c r="AQ64" s="10"/>
      <c r="AR64" s="10"/>
      <c r="AS64" s="10"/>
      <c r="AT64" s="10"/>
      <c r="AU64" s="10"/>
      <c r="AV64" s="10"/>
      <c r="AW64" s="10"/>
      <c r="AX64" s="10"/>
      <c r="AY64" s="10"/>
      <c r="AZ64" s="10"/>
      <c r="BA64" s="10"/>
      <c r="BB64" s="10"/>
      <c r="BC64" s="10"/>
      <c r="BD64" s="10"/>
      <c r="BE64" s="10"/>
      <c r="BF64" s="10"/>
      <c r="BG64" s="10"/>
      <c r="BH64" s="10"/>
      <c r="BI64" s="10"/>
      <c r="BJ64" s="10"/>
      <c r="BK64" s="10"/>
      <c r="BL64" s="10"/>
      <c r="BM64" s="10"/>
      <c r="BN64" s="10"/>
      <c r="BO64" s="10"/>
      <c r="BP64" s="10"/>
      <c r="BQ64" s="10"/>
      <c r="BR64" s="10"/>
      <c r="BS64" s="10"/>
      <c r="BT64" s="10"/>
      <c r="BU64" s="10"/>
      <c r="BV64" s="10"/>
      <c r="BW64" s="10"/>
      <c r="BX64" s="10"/>
      <c r="BY64" s="10"/>
      <c r="BZ64" s="10"/>
      <c r="CA64" s="10"/>
      <c r="CB64" s="10"/>
    </row>
    <row r="65" spans="1:8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row>
    <row r="66" spans="1:8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c r="BI66" s="10"/>
      <c r="BJ66" s="10"/>
      <c r="BK66" s="10"/>
      <c r="BL66" s="10"/>
      <c r="BM66" s="10"/>
      <c r="BN66" s="10"/>
      <c r="BO66" s="10"/>
      <c r="BP66" s="10"/>
      <c r="BQ66" s="10"/>
      <c r="BR66" s="10"/>
      <c r="BS66" s="10"/>
      <c r="BT66" s="10"/>
      <c r="BU66" s="10"/>
      <c r="BV66" s="10"/>
      <c r="BW66" s="10"/>
      <c r="BX66" s="10"/>
      <c r="BY66" s="10"/>
      <c r="BZ66" s="10"/>
      <c r="CA66" s="10"/>
      <c r="CB66" s="10"/>
    </row>
    <row r="67" spans="1:8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c r="BI67" s="10"/>
      <c r="BJ67" s="10"/>
      <c r="BK67" s="10"/>
      <c r="BL67" s="10"/>
      <c r="BM67" s="10"/>
      <c r="BN67" s="10"/>
      <c r="BO67" s="10"/>
      <c r="BP67" s="10"/>
      <c r="BQ67" s="10"/>
      <c r="BR67" s="10"/>
      <c r="BS67" s="10"/>
      <c r="BT67" s="10"/>
      <c r="BU67" s="10"/>
      <c r="BV67" s="10"/>
      <c r="BW67" s="10"/>
      <c r="BX67" s="10"/>
      <c r="BY67" s="10"/>
      <c r="BZ67" s="10"/>
      <c r="CA67" s="10"/>
      <c r="CB67" s="10"/>
    </row>
    <row r="68" spans="1:8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c r="BI68" s="10"/>
      <c r="BJ68" s="10"/>
      <c r="BK68" s="10"/>
      <c r="BL68" s="10"/>
      <c r="BM68" s="10"/>
      <c r="BN68" s="10"/>
      <c r="BO68" s="10"/>
      <c r="BP68" s="10"/>
      <c r="BQ68" s="10"/>
      <c r="BR68" s="10"/>
      <c r="BS68" s="10"/>
      <c r="BT68" s="10"/>
      <c r="BU68" s="10"/>
      <c r="BV68" s="10"/>
      <c r="BW68" s="10"/>
      <c r="BX68" s="10"/>
      <c r="BY68" s="10"/>
      <c r="BZ68" s="10"/>
      <c r="CA68" s="10"/>
      <c r="CB68" s="10"/>
    </row>
    <row r="69" spans="1:8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c r="BI69" s="10"/>
      <c r="BJ69" s="10"/>
      <c r="BK69" s="10"/>
      <c r="BL69" s="10"/>
      <c r="BM69" s="10"/>
      <c r="BN69" s="10"/>
      <c r="BO69" s="10"/>
      <c r="BP69" s="10"/>
      <c r="BQ69" s="10"/>
      <c r="BR69" s="10"/>
      <c r="BS69" s="10"/>
      <c r="BT69" s="10"/>
      <c r="BU69" s="10"/>
      <c r="BV69" s="10"/>
      <c r="BW69" s="10"/>
      <c r="BX69" s="10"/>
      <c r="BY69" s="10"/>
      <c r="BZ69" s="10"/>
      <c r="CA69" s="10"/>
      <c r="CB69" s="10"/>
    </row>
    <row r="70" spans="1:8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c r="BI70" s="10"/>
      <c r="BJ70" s="10"/>
      <c r="BK70" s="10"/>
      <c r="BL70" s="10"/>
      <c r="BM70" s="10"/>
      <c r="BN70" s="10"/>
      <c r="BO70" s="10"/>
      <c r="BP70" s="10"/>
      <c r="BQ70" s="10"/>
      <c r="BR70" s="10"/>
      <c r="BS70" s="10"/>
      <c r="BT70" s="10"/>
      <c r="BU70" s="10"/>
      <c r="BV70" s="10"/>
      <c r="BW70" s="10"/>
      <c r="BX70" s="10"/>
      <c r="BY70" s="10"/>
      <c r="BZ70" s="10"/>
      <c r="CA70" s="10"/>
      <c r="CB70" s="10"/>
    </row>
    <row r="71" spans="1:8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c r="BI71" s="10"/>
      <c r="BJ71" s="10"/>
      <c r="BK71" s="10"/>
      <c r="BL71" s="10"/>
      <c r="BM71" s="10"/>
      <c r="BN71" s="10"/>
      <c r="BO71" s="10"/>
      <c r="BP71" s="10"/>
      <c r="BQ71" s="10"/>
      <c r="BR71" s="10"/>
      <c r="BS71" s="10"/>
      <c r="BT71" s="10"/>
      <c r="BU71" s="10"/>
      <c r="BV71" s="10"/>
      <c r="BW71" s="10"/>
      <c r="BX71" s="10"/>
      <c r="BY71" s="10"/>
      <c r="BZ71" s="10"/>
      <c r="CA71" s="10"/>
      <c r="CB71" s="10"/>
    </row>
    <row r="72" spans="1:8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c r="BI72" s="10"/>
      <c r="BJ72" s="10"/>
      <c r="BK72" s="10"/>
      <c r="BL72" s="10"/>
      <c r="BM72" s="10"/>
      <c r="BN72" s="10"/>
      <c r="BO72" s="10"/>
      <c r="BP72" s="10"/>
      <c r="BQ72" s="10"/>
      <c r="BR72" s="10"/>
      <c r="BS72" s="10"/>
      <c r="BT72" s="10"/>
      <c r="BU72" s="10"/>
      <c r="BV72" s="10"/>
      <c r="BW72" s="10"/>
      <c r="BX72" s="10"/>
      <c r="BY72" s="10"/>
      <c r="BZ72" s="10"/>
      <c r="CA72" s="10"/>
      <c r="CB72" s="10"/>
    </row>
    <row r="73" spans="1:8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c r="BI73" s="10"/>
      <c r="BJ73" s="10"/>
      <c r="BK73" s="10"/>
      <c r="BL73" s="10"/>
      <c r="BM73" s="10"/>
      <c r="BN73" s="10"/>
      <c r="BO73" s="10"/>
      <c r="BP73" s="10"/>
      <c r="BQ73" s="10"/>
      <c r="BR73" s="10"/>
      <c r="BS73" s="10"/>
      <c r="BT73" s="10"/>
      <c r="BU73" s="10"/>
      <c r="BV73" s="10"/>
      <c r="BW73" s="10"/>
      <c r="BX73" s="10"/>
      <c r="BY73" s="10"/>
      <c r="BZ73" s="10"/>
      <c r="CA73" s="10"/>
      <c r="CB73" s="10"/>
    </row>
    <row r="74" spans="1:8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row>
    <row r="75" spans="1:8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c r="BI75" s="10"/>
      <c r="BJ75" s="10"/>
      <c r="BK75" s="10"/>
      <c r="BL75" s="10"/>
      <c r="BM75" s="10"/>
      <c r="BN75" s="10"/>
      <c r="BO75" s="10"/>
      <c r="BP75" s="10"/>
      <c r="BQ75" s="10"/>
      <c r="BR75" s="10"/>
      <c r="BS75" s="10"/>
      <c r="BT75" s="10"/>
      <c r="BU75" s="10"/>
      <c r="BV75" s="10"/>
      <c r="BW75" s="10"/>
      <c r="BX75" s="10"/>
      <c r="BY75" s="10"/>
      <c r="BZ75" s="10"/>
      <c r="CA75" s="10"/>
      <c r="CB75" s="10"/>
    </row>
    <row r="76" spans="1:8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c r="BI76" s="10"/>
      <c r="BJ76" s="10"/>
      <c r="BK76" s="10"/>
      <c r="BL76" s="10"/>
      <c r="BM76" s="10"/>
      <c r="BN76" s="10"/>
      <c r="BO76" s="10"/>
      <c r="BP76" s="10"/>
      <c r="BQ76" s="10"/>
      <c r="BR76" s="10"/>
      <c r="BS76" s="10"/>
      <c r="BT76" s="10"/>
      <c r="BU76" s="10"/>
      <c r="BV76" s="10"/>
      <c r="BW76" s="10"/>
      <c r="BX76" s="10"/>
      <c r="BY76" s="10"/>
      <c r="BZ76" s="10"/>
      <c r="CA76" s="10"/>
      <c r="CB76" s="10"/>
    </row>
    <row r="77" spans="1:8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c r="BI77" s="10"/>
      <c r="BJ77" s="10"/>
      <c r="BK77" s="10"/>
      <c r="BL77" s="10"/>
      <c r="BM77" s="10"/>
      <c r="BN77" s="10"/>
      <c r="BO77" s="10"/>
      <c r="BP77" s="10"/>
      <c r="BQ77" s="10"/>
      <c r="BR77" s="10"/>
      <c r="BS77" s="10"/>
      <c r="BT77" s="10"/>
      <c r="BU77" s="10"/>
      <c r="BV77" s="10"/>
      <c r="BW77" s="10"/>
      <c r="BX77" s="10"/>
      <c r="BY77" s="10"/>
      <c r="BZ77" s="10"/>
      <c r="CA77" s="10"/>
      <c r="CB77" s="10"/>
    </row>
    <row r="78" spans="1:8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c r="BI78" s="10"/>
      <c r="BJ78" s="10"/>
      <c r="BK78" s="10"/>
      <c r="BL78" s="10"/>
      <c r="BM78" s="10"/>
      <c r="BN78" s="10"/>
      <c r="BO78" s="10"/>
      <c r="BP78" s="10"/>
      <c r="BQ78" s="10"/>
      <c r="BR78" s="10"/>
      <c r="BS78" s="10"/>
      <c r="BT78" s="10"/>
      <c r="BU78" s="10"/>
      <c r="BV78" s="10"/>
      <c r="BW78" s="10"/>
      <c r="BX78" s="10"/>
      <c r="BY78" s="10"/>
      <c r="BZ78" s="10"/>
      <c r="CA78" s="10"/>
      <c r="CB78" s="10"/>
    </row>
    <row r="79" spans="1:8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c r="BI79" s="10"/>
      <c r="BJ79" s="10"/>
      <c r="BK79" s="10"/>
    </row>
    <row r="80" spans="1:8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c r="BI80" s="10"/>
      <c r="BJ80" s="10"/>
      <c r="BK80" s="10"/>
    </row>
    <row r="81" spans="1:63"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c r="BI81" s="10"/>
      <c r="BJ81" s="10"/>
      <c r="BK81" s="10"/>
    </row>
    <row r="82" spans="1:63"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c r="BI82" s="10"/>
      <c r="BJ82" s="10"/>
      <c r="BK82" s="10"/>
    </row>
    <row r="83" spans="1:63"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c r="BI83" s="10"/>
      <c r="BJ83" s="10"/>
      <c r="BK83" s="10"/>
    </row>
    <row r="84" spans="1:63"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c r="BI84" s="10"/>
      <c r="BJ84" s="10"/>
      <c r="BK84" s="10"/>
    </row>
    <row r="85" spans="1:63"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c r="BI85" s="10"/>
      <c r="BJ85" s="10"/>
      <c r="BK85" s="10"/>
    </row>
    <row r="86" spans="1:63"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row>
    <row r="87" spans="1:63"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c r="BI87" s="10"/>
      <c r="BJ87" s="10"/>
      <c r="BK87" s="10"/>
    </row>
    <row r="88" spans="1:63"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c r="BI88" s="10"/>
      <c r="BJ88" s="10"/>
      <c r="BK88" s="10"/>
    </row>
    <row r="89" spans="1:63"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c r="BI89" s="10"/>
      <c r="BJ89" s="10"/>
      <c r="BK89" s="10"/>
    </row>
    <row r="90" spans="1:63"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c r="BI90" s="10"/>
      <c r="BJ90" s="10"/>
      <c r="BK90" s="10"/>
    </row>
    <row r="91" spans="1:63"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c r="BI91" s="10"/>
      <c r="BJ91" s="10"/>
      <c r="BK91" s="10"/>
    </row>
    <row r="92" spans="1:63"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c r="BI92" s="10"/>
      <c r="BJ92" s="10"/>
      <c r="BK92" s="10"/>
    </row>
    <row r="93" spans="1:63"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c r="BI93" s="10"/>
      <c r="BJ93" s="10"/>
      <c r="BK93" s="10"/>
    </row>
    <row r="94" spans="1:63"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row>
    <row r="95" spans="1:63"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c r="BI95" s="10"/>
      <c r="BJ95" s="10"/>
      <c r="BK95" s="10"/>
    </row>
    <row r="96" spans="1:63"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c r="BI96" s="10"/>
      <c r="BJ96" s="10"/>
      <c r="BK96" s="10"/>
    </row>
    <row r="97" spans="1:63"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c r="BI97" s="10"/>
      <c r="BJ97" s="10"/>
      <c r="BK97" s="10"/>
    </row>
    <row r="98" spans="1:63"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c r="BI98" s="10"/>
      <c r="BJ98" s="10"/>
      <c r="BK98" s="10"/>
    </row>
    <row r="99" spans="1:63"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c r="BI99" s="10"/>
      <c r="BJ99" s="10"/>
      <c r="BK99" s="10"/>
    </row>
    <row r="100" spans="1:63"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row>
    <row r="101" spans="1:63"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c r="BI101" s="10"/>
      <c r="BJ101" s="10"/>
      <c r="BK101" s="10"/>
    </row>
    <row r="102" spans="1:63"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c r="BI102" s="10"/>
      <c r="BJ102" s="10"/>
      <c r="BK102" s="10"/>
    </row>
    <row r="103" spans="1:63"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c r="BI103" s="10"/>
      <c r="BJ103" s="10"/>
      <c r="BK103" s="10"/>
    </row>
    <row r="104" spans="1:63"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c r="BI104" s="10"/>
      <c r="BJ104" s="10"/>
      <c r="BK104" s="10"/>
    </row>
    <row r="105" spans="1:63"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c r="BI105" s="10"/>
      <c r="BJ105" s="10"/>
      <c r="BK105" s="10"/>
    </row>
    <row r="106" spans="1:63"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c r="BI106" s="10"/>
      <c r="BJ106" s="10"/>
      <c r="BK106" s="10"/>
    </row>
    <row r="107" spans="1:63"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c r="BI107" s="10"/>
      <c r="BJ107" s="10"/>
      <c r="BK107" s="10"/>
    </row>
    <row r="108" spans="1:63"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c r="BI108" s="10"/>
      <c r="BJ108" s="10"/>
      <c r="BK108" s="10"/>
    </row>
    <row r="109" spans="1:63"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c r="BI109" s="10"/>
      <c r="BJ109" s="10"/>
      <c r="BK109" s="10"/>
    </row>
    <row r="110" spans="1:63"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c r="BI110" s="10"/>
      <c r="BJ110" s="10"/>
      <c r="BK110" s="10"/>
    </row>
    <row r="111" spans="1:63"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c r="BI111" s="10"/>
      <c r="BJ111" s="10"/>
      <c r="BK111" s="10"/>
    </row>
    <row r="112" spans="1:63"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c r="BI112" s="10"/>
      <c r="BJ112" s="10"/>
      <c r="BK112" s="10"/>
    </row>
    <row r="113" spans="1:63"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c r="BI113" s="10"/>
      <c r="BJ113" s="10"/>
      <c r="BK113" s="10"/>
    </row>
    <row r="114" spans="1:63"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c r="BI114" s="10"/>
      <c r="BJ114" s="10"/>
      <c r="BK114" s="10"/>
    </row>
    <row r="115" spans="1:63"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c r="BI115" s="10"/>
      <c r="BJ115" s="10"/>
      <c r="BK115" s="10"/>
    </row>
    <row r="116" spans="1:63"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c r="BI116" s="10"/>
      <c r="BJ116" s="10"/>
      <c r="BK116" s="10"/>
    </row>
    <row r="117" spans="1:63"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c r="BI117" s="10"/>
      <c r="BJ117" s="10"/>
      <c r="BK117" s="10"/>
    </row>
    <row r="118" spans="1:63"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c r="BI118" s="10"/>
      <c r="BJ118" s="10"/>
      <c r="BK118" s="10"/>
    </row>
    <row r="119" spans="1:63"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c r="BI119" s="10"/>
      <c r="BJ119" s="10"/>
      <c r="BK119" s="10"/>
    </row>
    <row r="120" spans="1:63"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c r="BI120" s="10"/>
      <c r="BJ120" s="10"/>
      <c r="BK120" s="10"/>
    </row>
    <row r="121" spans="1:63"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c r="BI121" s="10"/>
      <c r="BJ121" s="10"/>
      <c r="BK121" s="10"/>
    </row>
    <row r="122" spans="1:63" x14ac:dyDescent="0.2">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c r="BI122" s="10"/>
      <c r="BJ122" s="10"/>
      <c r="BK122" s="10"/>
    </row>
    <row r="123" spans="1:63" x14ac:dyDescent="0.2">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c r="BI123" s="10"/>
      <c r="BJ123" s="10"/>
      <c r="BK123" s="10"/>
    </row>
    <row r="124" spans="1:63" x14ac:dyDescent="0.2">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c r="BI124" s="10"/>
      <c r="BJ124" s="10"/>
      <c r="BK124" s="10"/>
    </row>
    <row r="125" spans="1:63" x14ac:dyDescent="0.2">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c r="BI125" s="10"/>
      <c r="BJ125" s="10"/>
      <c r="BK125" s="10"/>
    </row>
    <row r="126" spans="1:63" x14ac:dyDescent="0.2">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c r="BI126" s="10"/>
      <c r="BJ126" s="10"/>
      <c r="BK126" s="10"/>
    </row>
    <row r="127" spans="1:63" x14ac:dyDescent="0.2">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c r="BI127" s="10"/>
      <c r="BJ127" s="10"/>
      <c r="BK127" s="10"/>
    </row>
    <row r="128" spans="1:63" x14ac:dyDescent="0.2">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c r="BI128" s="10"/>
      <c r="BJ128" s="10"/>
      <c r="BK128" s="10"/>
    </row>
    <row r="129" spans="2:63" x14ac:dyDescent="0.2">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c r="BI129" s="10"/>
      <c r="BJ129" s="10"/>
      <c r="BK129" s="10"/>
    </row>
    <row r="130" spans="2:63" x14ac:dyDescent="0.2">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c r="BI130" s="10"/>
      <c r="BJ130" s="10"/>
      <c r="BK130" s="10"/>
    </row>
    <row r="131" spans="2:63" x14ac:dyDescent="0.2">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c r="BI131" s="10"/>
      <c r="BJ131" s="10"/>
      <c r="BK131" s="10"/>
    </row>
    <row r="132" spans="2:63" x14ac:dyDescent="0.2">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c r="BI132" s="10"/>
      <c r="BJ132" s="10"/>
      <c r="BK132" s="10"/>
    </row>
    <row r="133" spans="2:63" x14ac:dyDescent="0.2">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c r="BI133" s="10"/>
      <c r="BJ133" s="10"/>
      <c r="BK133" s="10"/>
    </row>
    <row r="134" spans="2:63" x14ac:dyDescent="0.2">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c r="BI134" s="10"/>
      <c r="BJ134" s="10"/>
      <c r="BK134" s="10"/>
    </row>
    <row r="135" spans="2:63" x14ac:dyDescent="0.2">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c r="BI135" s="10"/>
      <c r="BJ135" s="10"/>
      <c r="BK135" s="10"/>
    </row>
    <row r="136" spans="2:63" x14ac:dyDescent="0.2">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c r="BI136" s="10"/>
      <c r="BJ136" s="10"/>
      <c r="BK136" s="10"/>
    </row>
    <row r="137" spans="2:63" x14ac:dyDescent="0.2">
      <c r="B137" s="10"/>
      <c r="C137" s="10"/>
      <c r="D137" s="10"/>
      <c r="E137" s="10"/>
      <c r="F137" s="10"/>
      <c r="G137" s="10"/>
      <c r="H137" s="10"/>
      <c r="I137" s="10"/>
    </row>
    <row r="138" spans="2:63" x14ac:dyDescent="0.2">
      <c r="B138" s="10"/>
      <c r="C138" s="10"/>
      <c r="D138" s="10"/>
      <c r="E138" s="10"/>
      <c r="F138" s="10"/>
      <c r="G138" s="10"/>
      <c r="H138" s="10"/>
      <c r="I138" s="10"/>
    </row>
    <row r="139" spans="2:63" x14ac:dyDescent="0.2">
      <c r="B139" s="10"/>
      <c r="C139" s="10"/>
      <c r="D139" s="10"/>
      <c r="E139" s="10"/>
      <c r="F139" s="10"/>
      <c r="G139" s="10"/>
      <c r="H139" s="10"/>
      <c r="I139" s="10"/>
    </row>
    <row r="140" spans="2:63" x14ac:dyDescent="0.2">
      <c r="B140" s="10"/>
      <c r="C140" s="10"/>
      <c r="D140" s="10"/>
      <c r="E140" s="10"/>
      <c r="F140" s="10"/>
      <c r="G140" s="10"/>
      <c r="H140" s="10"/>
      <c r="I140" s="10"/>
    </row>
  </sheetData>
  <mergeCells count="317">
    <mergeCell ref="B6:D45"/>
    <mergeCell ref="AO6:AT13"/>
    <mergeCell ref="AO14:AT21"/>
    <mergeCell ref="AO22:AT29"/>
    <mergeCell ref="AO30:AT37"/>
    <mergeCell ref="E22:I29"/>
    <mergeCell ref="E38:I45"/>
    <mergeCell ref="J46:O51"/>
    <mergeCell ref="P46:U51"/>
    <mergeCell ref="V46:AA51"/>
    <mergeCell ref="N10:O11"/>
    <mergeCell ref="N12:O13"/>
    <mergeCell ref="R12:S13"/>
    <mergeCell ref="T12:U13"/>
    <mergeCell ref="V6:W7"/>
    <mergeCell ref="X6:Y7"/>
    <mergeCell ref="Z6:AA7"/>
    <mergeCell ref="V8:W9"/>
    <mergeCell ref="X8:Y9"/>
    <mergeCell ref="Z8:AA9"/>
    <mergeCell ref="V10:W11"/>
    <mergeCell ref="X10:Y11"/>
    <mergeCell ref="R6:S7"/>
    <mergeCell ref="T6:U7"/>
    <mergeCell ref="J2:AM4"/>
    <mergeCell ref="E6:I13"/>
    <mergeCell ref="E14:I21"/>
    <mergeCell ref="J6:K7"/>
    <mergeCell ref="AB46:AG51"/>
    <mergeCell ref="AH46:AM51"/>
    <mergeCell ref="P6:Q7"/>
    <mergeCell ref="P12:Q13"/>
    <mergeCell ref="L6:M7"/>
    <mergeCell ref="N6:O7"/>
    <mergeCell ref="N8:O9"/>
    <mergeCell ref="L8:M9"/>
    <mergeCell ref="J8:K9"/>
    <mergeCell ref="J10:K11"/>
    <mergeCell ref="E30:I37"/>
    <mergeCell ref="P8:Q9"/>
    <mergeCell ref="R8:S9"/>
    <mergeCell ref="T8:U9"/>
    <mergeCell ref="P10:Q11"/>
    <mergeCell ref="R10:S11"/>
    <mergeCell ref="T10:U11"/>
    <mergeCell ref="J12:K13"/>
    <mergeCell ref="L10:M11"/>
    <mergeCell ref="L12:M13"/>
    <mergeCell ref="AF6:AG7"/>
    <mergeCell ref="AB8:AC9"/>
    <mergeCell ref="AD8:AE9"/>
    <mergeCell ref="AF8:AG9"/>
    <mergeCell ref="AB10:AC11"/>
    <mergeCell ref="AD10:AE11"/>
    <mergeCell ref="AF10:AG11"/>
    <mergeCell ref="Z10:AA11"/>
    <mergeCell ref="V12:W13"/>
    <mergeCell ref="X12:Y13"/>
    <mergeCell ref="Z12:AA13"/>
    <mergeCell ref="AB6:AC7"/>
    <mergeCell ref="AD6:AE7"/>
    <mergeCell ref="AB12:AC13"/>
    <mergeCell ref="AD12:AE13"/>
    <mergeCell ref="AF12:AG13"/>
    <mergeCell ref="AB14:AC15"/>
    <mergeCell ref="AD14:AE15"/>
    <mergeCell ref="AF14:AG15"/>
    <mergeCell ref="AB16:AC17"/>
    <mergeCell ref="AD16:AE17"/>
    <mergeCell ref="AF16:AG17"/>
    <mergeCell ref="V20:W21"/>
    <mergeCell ref="X20:Y21"/>
    <mergeCell ref="Z20:AA21"/>
    <mergeCell ref="V14:W15"/>
    <mergeCell ref="X14:Y15"/>
    <mergeCell ref="Z14:AA15"/>
    <mergeCell ref="V16:W17"/>
    <mergeCell ref="X16:Y17"/>
    <mergeCell ref="Z16:AA17"/>
    <mergeCell ref="AB18:AC19"/>
    <mergeCell ref="AD18:AE19"/>
    <mergeCell ref="V18:W19"/>
    <mergeCell ref="X18:Y19"/>
    <mergeCell ref="Z18:AA19"/>
    <mergeCell ref="AF18:AG19"/>
    <mergeCell ref="AB20:AC21"/>
    <mergeCell ref="AD20:AE21"/>
    <mergeCell ref="AF20:AG21"/>
    <mergeCell ref="AB26:AC27"/>
    <mergeCell ref="AD26:AE27"/>
    <mergeCell ref="AF26:AG27"/>
    <mergeCell ref="AB28:AC29"/>
    <mergeCell ref="AD28:AE29"/>
    <mergeCell ref="AF28:AG29"/>
    <mergeCell ref="AB22:AC23"/>
    <mergeCell ref="AD22:AE23"/>
    <mergeCell ref="AF22:AG23"/>
    <mergeCell ref="AB24:AC25"/>
    <mergeCell ref="AD24:AE25"/>
    <mergeCell ref="AF24:AG25"/>
    <mergeCell ref="AB34:AC35"/>
    <mergeCell ref="AD34:AE35"/>
    <mergeCell ref="AF34:AG35"/>
    <mergeCell ref="AB36:AC37"/>
    <mergeCell ref="AD36:AE37"/>
    <mergeCell ref="AF36:AG37"/>
    <mergeCell ref="AB30:AC31"/>
    <mergeCell ref="AD30:AE31"/>
    <mergeCell ref="AF30:AG31"/>
    <mergeCell ref="AB32:AC33"/>
    <mergeCell ref="AD32:AE33"/>
    <mergeCell ref="AF32:AG33"/>
    <mergeCell ref="AB42:AC43"/>
    <mergeCell ref="AD42:AE43"/>
    <mergeCell ref="AF42:AG43"/>
    <mergeCell ref="AB44:AC45"/>
    <mergeCell ref="AD44:AE45"/>
    <mergeCell ref="AF44:AG45"/>
    <mergeCell ref="AB38:AC39"/>
    <mergeCell ref="AD38:AE39"/>
    <mergeCell ref="AF38:AG39"/>
    <mergeCell ref="AB40:AC41"/>
    <mergeCell ref="AD40:AE41"/>
    <mergeCell ref="AF40:AG41"/>
    <mergeCell ref="AH10:AI11"/>
    <mergeCell ref="AJ10:AK11"/>
    <mergeCell ref="AL10:AM11"/>
    <mergeCell ref="AH12:AI13"/>
    <mergeCell ref="AJ12:AK13"/>
    <mergeCell ref="AL12:AM13"/>
    <mergeCell ref="AH6:AI7"/>
    <mergeCell ref="AJ6:AK7"/>
    <mergeCell ref="AL6:AM7"/>
    <mergeCell ref="AH8:AI9"/>
    <mergeCell ref="AJ8:AK9"/>
    <mergeCell ref="AL8:AM9"/>
    <mergeCell ref="AH18:AI19"/>
    <mergeCell ref="AJ18:AK19"/>
    <mergeCell ref="AL18:AM19"/>
    <mergeCell ref="AH20:AI21"/>
    <mergeCell ref="AJ20:AK21"/>
    <mergeCell ref="AL20:AM21"/>
    <mergeCell ref="AH14:AI15"/>
    <mergeCell ref="AJ14:AK15"/>
    <mergeCell ref="AL14:AM15"/>
    <mergeCell ref="AH16:AI17"/>
    <mergeCell ref="AJ16:AK17"/>
    <mergeCell ref="AL16:AM17"/>
    <mergeCell ref="AH26:AI27"/>
    <mergeCell ref="AJ26:AK27"/>
    <mergeCell ref="AL26:AM27"/>
    <mergeCell ref="AH28:AI29"/>
    <mergeCell ref="AJ28:AK29"/>
    <mergeCell ref="AL28:AM29"/>
    <mergeCell ref="AH22:AI23"/>
    <mergeCell ref="AJ22:AK23"/>
    <mergeCell ref="AL22:AM23"/>
    <mergeCell ref="AH24:AI25"/>
    <mergeCell ref="AJ24:AK25"/>
    <mergeCell ref="AL24:AM25"/>
    <mergeCell ref="AH34:AI35"/>
    <mergeCell ref="AJ34:AK35"/>
    <mergeCell ref="AL34:AM35"/>
    <mergeCell ref="AH36:AI37"/>
    <mergeCell ref="AJ36:AK37"/>
    <mergeCell ref="AL36:AM37"/>
    <mergeCell ref="AH30:AI31"/>
    <mergeCell ref="AJ30:AK31"/>
    <mergeCell ref="AL30:AM31"/>
    <mergeCell ref="AH32:AI33"/>
    <mergeCell ref="AJ32:AK33"/>
    <mergeCell ref="AL32:AM33"/>
    <mergeCell ref="AH42:AI43"/>
    <mergeCell ref="AJ42:AK43"/>
    <mergeCell ref="AL42:AM43"/>
    <mergeCell ref="AH44:AI45"/>
    <mergeCell ref="AJ44:AK45"/>
    <mergeCell ref="AL44:AM45"/>
    <mergeCell ref="AH38:AI39"/>
    <mergeCell ref="AJ38:AK39"/>
    <mergeCell ref="AL38:AM39"/>
    <mergeCell ref="AH40:AI41"/>
    <mergeCell ref="AJ40:AK41"/>
    <mergeCell ref="AL40:AM41"/>
    <mergeCell ref="J18:K19"/>
    <mergeCell ref="L18:M19"/>
    <mergeCell ref="N18:O19"/>
    <mergeCell ref="J20:K21"/>
    <mergeCell ref="L20:M21"/>
    <mergeCell ref="N20:O21"/>
    <mergeCell ref="J14:K15"/>
    <mergeCell ref="L14:M15"/>
    <mergeCell ref="N14:O15"/>
    <mergeCell ref="J16:K17"/>
    <mergeCell ref="L16:M17"/>
    <mergeCell ref="N16:O17"/>
    <mergeCell ref="P18:Q19"/>
    <mergeCell ref="R18:S19"/>
    <mergeCell ref="T18:U19"/>
    <mergeCell ref="P20:Q21"/>
    <mergeCell ref="R20:S21"/>
    <mergeCell ref="T20:U21"/>
    <mergeCell ref="P14:Q15"/>
    <mergeCell ref="R14:S15"/>
    <mergeCell ref="T14:U15"/>
    <mergeCell ref="P16:Q17"/>
    <mergeCell ref="R16:S17"/>
    <mergeCell ref="T16:U17"/>
    <mergeCell ref="J26:K27"/>
    <mergeCell ref="L26:M27"/>
    <mergeCell ref="N26:O27"/>
    <mergeCell ref="J28:K29"/>
    <mergeCell ref="L28:M29"/>
    <mergeCell ref="N28:O29"/>
    <mergeCell ref="J22:K23"/>
    <mergeCell ref="L22:M23"/>
    <mergeCell ref="N22:O23"/>
    <mergeCell ref="J24:K25"/>
    <mergeCell ref="L24:M25"/>
    <mergeCell ref="N24:O25"/>
    <mergeCell ref="P26:Q27"/>
    <mergeCell ref="R26:S27"/>
    <mergeCell ref="T26:U27"/>
    <mergeCell ref="P28:Q29"/>
    <mergeCell ref="R28:S29"/>
    <mergeCell ref="T28:U29"/>
    <mergeCell ref="P22:Q23"/>
    <mergeCell ref="R22:S23"/>
    <mergeCell ref="T22:U23"/>
    <mergeCell ref="P24:Q25"/>
    <mergeCell ref="R24:S25"/>
    <mergeCell ref="T24:U25"/>
    <mergeCell ref="V26:W27"/>
    <mergeCell ref="X26:Y27"/>
    <mergeCell ref="Z26:AA27"/>
    <mergeCell ref="V28:W29"/>
    <mergeCell ref="X28:Y29"/>
    <mergeCell ref="Z28:AA29"/>
    <mergeCell ref="V22:W23"/>
    <mergeCell ref="X22:Y23"/>
    <mergeCell ref="Z22:AA23"/>
    <mergeCell ref="V24:W25"/>
    <mergeCell ref="X24:Y25"/>
    <mergeCell ref="Z24:AA25"/>
    <mergeCell ref="V34:W35"/>
    <mergeCell ref="X34:Y35"/>
    <mergeCell ref="Z34:AA35"/>
    <mergeCell ref="V36:W37"/>
    <mergeCell ref="X36:Y37"/>
    <mergeCell ref="Z36:AA37"/>
    <mergeCell ref="V30:W31"/>
    <mergeCell ref="X30:Y31"/>
    <mergeCell ref="Z30:AA31"/>
    <mergeCell ref="V32:W33"/>
    <mergeCell ref="X32:Y33"/>
    <mergeCell ref="Z32:AA33"/>
    <mergeCell ref="P34:Q35"/>
    <mergeCell ref="R34:S35"/>
    <mergeCell ref="T34:U35"/>
    <mergeCell ref="P36:Q37"/>
    <mergeCell ref="R36:S37"/>
    <mergeCell ref="T36:U37"/>
    <mergeCell ref="P30:Q31"/>
    <mergeCell ref="R30:S31"/>
    <mergeCell ref="T30:U31"/>
    <mergeCell ref="P32:Q33"/>
    <mergeCell ref="R32:S33"/>
    <mergeCell ref="T32:U33"/>
    <mergeCell ref="V42:W43"/>
    <mergeCell ref="X42:Y43"/>
    <mergeCell ref="Z42:AA43"/>
    <mergeCell ref="V44:W45"/>
    <mergeCell ref="X44:Y45"/>
    <mergeCell ref="Z44:AA45"/>
    <mergeCell ref="V38:W39"/>
    <mergeCell ref="X38:Y39"/>
    <mergeCell ref="Z38:AA39"/>
    <mergeCell ref="V40:W41"/>
    <mergeCell ref="X40:Y41"/>
    <mergeCell ref="Z40:AA41"/>
    <mergeCell ref="N40:O41"/>
    <mergeCell ref="J34:K35"/>
    <mergeCell ref="L34:M35"/>
    <mergeCell ref="N34:O35"/>
    <mergeCell ref="J36:K37"/>
    <mergeCell ref="L36:M37"/>
    <mergeCell ref="N36:O37"/>
    <mergeCell ref="J30:K31"/>
    <mergeCell ref="L30:M31"/>
    <mergeCell ref="N30:O31"/>
    <mergeCell ref="J32:K33"/>
    <mergeCell ref="L32:M33"/>
    <mergeCell ref="N32:O33"/>
    <mergeCell ref="B2:I4"/>
    <mergeCell ref="P42:Q43"/>
    <mergeCell ref="R42:S43"/>
    <mergeCell ref="T42:U43"/>
    <mergeCell ref="P44:Q45"/>
    <mergeCell ref="R44:S45"/>
    <mergeCell ref="T44:U45"/>
    <mergeCell ref="P38:Q39"/>
    <mergeCell ref="R38:S39"/>
    <mergeCell ref="T38:U39"/>
    <mergeCell ref="P40:Q41"/>
    <mergeCell ref="R40:S41"/>
    <mergeCell ref="T40:U41"/>
    <mergeCell ref="J42:K43"/>
    <mergeCell ref="L42:M43"/>
    <mergeCell ref="N42:O43"/>
    <mergeCell ref="J44:K45"/>
    <mergeCell ref="L44:M45"/>
    <mergeCell ref="N44:O45"/>
    <mergeCell ref="J38:K39"/>
    <mergeCell ref="L38:M39"/>
    <mergeCell ref="N38:O39"/>
    <mergeCell ref="J40:K41"/>
    <mergeCell ref="L40:M4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CM248"/>
  <sheetViews>
    <sheetView showGridLines="0" zoomScale="50" zoomScaleNormal="50" workbookViewId="0">
      <selection activeCell="N72" sqref="N72:N73"/>
    </sheetView>
  </sheetViews>
  <sheetFormatPr baseColWidth="10" defaultRowHeight="14.25" x14ac:dyDescent="0.2"/>
  <cols>
    <col min="1" max="1" width="11.42578125" style="8"/>
    <col min="2" max="18" width="5.7109375" style="8" customWidth="1"/>
    <col min="19" max="19" width="8.42578125" style="8" customWidth="1"/>
    <col min="20" max="23" width="5.7109375" style="8" customWidth="1"/>
    <col min="24" max="24" width="8.5703125" style="8" customWidth="1"/>
    <col min="25" max="26" width="5.7109375" style="8" customWidth="1"/>
    <col min="27" max="27" width="10.7109375" style="8" customWidth="1"/>
    <col min="28" max="28" width="5.7109375" style="8" customWidth="1"/>
    <col min="29" max="29" width="7.42578125" style="8" customWidth="1"/>
    <col min="30" max="33" width="5.7109375" style="8" customWidth="1"/>
    <col min="34" max="34" width="8.5703125" style="8" customWidth="1"/>
    <col min="35" max="39" width="5.7109375" style="8" customWidth="1"/>
    <col min="40" max="40" width="11.42578125" style="8"/>
    <col min="41" max="46" width="5.7109375" style="8" customWidth="1"/>
    <col min="47" max="16384" width="11.42578125" style="8"/>
  </cols>
  <sheetData>
    <row r="1" spans="1:91" x14ac:dyDescent="0.2">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c r="AZ1" s="10"/>
      <c r="BA1" s="10"/>
      <c r="BB1" s="10"/>
      <c r="BC1" s="10"/>
      <c r="BD1" s="10"/>
      <c r="BE1" s="10"/>
      <c r="BF1" s="10"/>
      <c r="BG1" s="10"/>
      <c r="BH1" s="10"/>
      <c r="BI1" s="10"/>
      <c r="BJ1" s="10"/>
      <c r="BK1" s="10"/>
      <c r="BL1" s="10"/>
      <c r="BM1" s="10"/>
      <c r="BN1" s="10"/>
      <c r="BO1" s="10"/>
      <c r="BP1" s="10"/>
      <c r="BQ1" s="10"/>
      <c r="BR1" s="10"/>
      <c r="BS1" s="10"/>
      <c r="BT1" s="10"/>
      <c r="BU1" s="10"/>
      <c r="BV1" s="10"/>
      <c r="BW1" s="10"/>
      <c r="BX1" s="10"/>
      <c r="BY1" s="10"/>
      <c r="BZ1" s="10"/>
      <c r="CA1" s="10"/>
      <c r="CB1" s="10"/>
      <c r="CC1" s="10"/>
      <c r="CD1" s="10"/>
      <c r="CE1" s="10"/>
      <c r="CF1" s="10"/>
      <c r="CG1" s="10"/>
      <c r="CH1" s="10"/>
      <c r="CI1" s="10"/>
      <c r="CJ1" s="10"/>
      <c r="CK1" s="10"/>
      <c r="CL1" s="10"/>
      <c r="CM1" s="10"/>
    </row>
    <row r="2" spans="1:91" ht="18" customHeight="1" x14ac:dyDescent="0.2">
      <c r="A2" s="10"/>
      <c r="B2" s="411" t="s">
        <v>138</v>
      </c>
      <c r="C2" s="412"/>
      <c r="D2" s="412"/>
      <c r="E2" s="412"/>
      <c r="F2" s="412"/>
      <c r="G2" s="412"/>
      <c r="H2" s="412"/>
      <c r="I2" s="412"/>
      <c r="J2" s="331" t="s">
        <v>1</v>
      </c>
      <c r="K2" s="331"/>
      <c r="L2" s="331"/>
      <c r="M2" s="331"/>
      <c r="N2" s="331"/>
      <c r="O2" s="331"/>
      <c r="P2" s="331"/>
      <c r="Q2" s="331"/>
      <c r="R2" s="331"/>
      <c r="S2" s="331"/>
      <c r="T2" s="331"/>
      <c r="U2" s="331"/>
      <c r="V2" s="331"/>
      <c r="W2" s="331"/>
      <c r="X2" s="331"/>
      <c r="Y2" s="331"/>
      <c r="Z2" s="331"/>
      <c r="AA2" s="331"/>
      <c r="AB2" s="331"/>
      <c r="AC2" s="331"/>
      <c r="AD2" s="331"/>
      <c r="AE2" s="331"/>
      <c r="AF2" s="331"/>
      <c r="AG2" s="331"/>
      <c r="AH2" s="331"/>
      <c r="AI2" s="331"/>
      <c r="AJ2" s="331"/>
      <c r="AK2" s="331"/>
      <c r="AL2" s="331"/>
      <c r="AM2" s="331"/>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row>
    <row r="3" spans="1:91" ht="18.75" customHeight="1" x14ac:dyDescent="0.2">
      <c r="A3" s="10"/>
      <c r="B3" s="412"/>
      <c r="C3" s="412"/>
      <c r="D3" s="412"/>
      <c r="E3" s="412"/>
      <c r="F3" s="412"/>
      <c r="G3" s="412"/>
      <c r="H3" s="412"/>
      <c r="I3" s="412"/>
      <c r="J3" s="331"/>
      <c r="K3" s="331"/>
      <c r="L3" s="331"/>
      <c r="M3" s="331"/>
      <c r="N3" s="331"/>
      <c r="O3" s="331"/>
      <c r="P3" s="331"/>
      <c r="Q3" s="331"/>
      <c r="R3" s="331"/>
      <c r="S3" s="331"/>
      <c r="T3" s="331"/>
      <c r="U3" s="331"/>
      <c r="V3" s="331"/>
      <c r="W3" s="331"/>
      <c r="X3" s="331"/>
      <c r="Y3" s="331"/>
      <c r="Z3" s="331"/>
      <c r="AA3" s="331"/>
      <c r="AB3" s="331"/>
      <c r="AC3" s="331"/>
      <c r="AD3" s="331"/>
      <c r="AE3" s="331"/>
      <c r="AF3" s="331"/>
      <c r="AG3" s="331"/>
      <c r="AH3" s="331"/>
      <c r="AI3" s="331"/>
      <c r="AJ3" s="331"/>
      <c r="AK3" s="331"/>
      <c r="AL3" s="331"/>
      <c r="AM3" s="331"/>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row>
    <row r="4" spans="1:91" ht="15" customHeight="1" x14ac:dyDescent="0.2">
      <c r="A4" s="10"/>
      <c r="B4" s="412"/>
      <c r="C4" s="412"/>
      <c r="D4" s="412"/>
      <c r="E4" s="412"/>
      <c r="F4" s="412"/>
      <c r="G4" s="412"/>
      <c r="H4" s="412"/>
      <c r="I4" s="412"/>
      <c r="J4" s="331"/>
      <c r="K4" s="331"/>
      <c r="L4" s="331"/>
      <c r="M4" s="331"/>
      <c r="N4" s="331"/>
      <c r="O4" s="331"/>
      <c r="P4" s="331"/>
      <c r="Q4" s="331"/>
      <c r="R4" s="331"/>
      <c r="S4" s="331"/>
      <c r="T4" s="331"/>
      <c r="U4" s="331"/>
      <c r="V4" s="331"/>
      <c r="W4" s="331"/>
      <c r="X4" s="331"/>
      <c r="Y4" s="331"/>
      <c r="Z4" s="331"/>
      <c r="AA4" s="331"/>
      <c r="AB4" s="331"/>
      <c r="AC4" s="331"/>
      <c r="AD4" s="331"/>
      <c r="AE4" s="331"/>
      <c r="AF4" s="331"/>
      <c r="AG4" s="331"/>
      <c r="AH4" s="331"/>
      <c r="AI4" s="331"/>
      <c r="AJ4" s="331"/>
      <c r="AK4" s="331"/>
      <c r="AL4" s="331"/>
      <c r="AM4" s="331"/>
      <c r="AN4" s="10"/>
      <c r="AO4" s="10"/>
      <c r="AP4" s="10"/>
      <c r="AQ4" s="10"/>
      <c r="AR4" s="10"/>
      <c r="AS4" s="10"/>
      <c r="AT4" s="10"/>
      <c r="AU4" s="10"/>
      <c r="AV4" s="10"/>
      <c r="AW4" s="10"/>
      <c r="AX4" s="10"/>
      <c r="AY4" s="10"/>
      <c r="AZ4" s="10"/>
      <c r="BA4" s="10"/>
      <c r="BB4" s="10"/>
      <c r="BC4" s="10"/>
      <c r="BD4" s="10"/>
      <c r="BE4" s="10"/>
      <c r="BF4" s="10"/>
      <c r="BG4" s="10"/>
      <c r="BH4" s="10"/>
      <c r="BI4" s="10"/>
      <c r="BJ4" s="10"/>
      <c r="BK4" s="10"/>
      <c r="BL4" s="10"/>
      <c r="BM4" s="10"/>
      <c r="BN4" s="10"/>
      <c r="BO4" s="10"/>
      <c r="BP4" s="10"/>
      <c r="BQ4" s="10"/>
      <c r="BR4" s="10"/>
      <c r="BS4" s="10"/>
      <c r="BT4" s="10"/>
      <c r="BU4" s="10"/>
      <c r="BV4" s="10"/>
      <c r="BW4" s="10"/>
      <c r="BX4" s="10"/>
      <c r="BY4" s="10"/>
      <c r="BZ4" s="10"/>
      <c r="CA4" s="10"/>
      <c r="CB4" s="10"/>
      <c r="CC4" s="10"/>
      <c r="CD4" s="10"/>
      <c r="CE4" s="10"/>
      <c r="CF4" s="10"/>
      <c r="CG4" s="10"/>
      <c r="CH4" s="10"/>
      <c r="CI4" s="10"/>
      <c r="CJ4" s="10"/>
      <c r="CK4" s="10"/>
      <c r="CL4" s="10"/>
      <c r="CM4" s="10"/>
    </row>
    <row r="5" spans="1:91" ht="15" thickBot="1" x14ac:dyDescent="0.25">
      <c r="A5" s="10"/>
      <c r="B5" s="10"/>
      <c r="C5" s="10"/>
      <c r="D5" s="10"/>
      <c r="E5" s="10"/>
      <c r="F5" s="10"/>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row>
    <row r="6" spans="1:91" ht="15" customHeight="1" x14ac:dyDescent="0.25">
      <c r="A6" s="10"/>
      <c r="B6" s="343" t="s">
        <v>3</v>
      </c>
      <c r="C6" s="343"/>
      <c r="D6" s="344"/>
      <c r="E6" s="381" t="s">
        <v>109</v>
      </c>
      <c r="F6" s="382"/>
      <c r="G6" s="382"/>
      <c r="H6" s="382"/>
      <c r="I6" s="383"/>
      <c r="J6" s="39" t="str">
        <f>IF(AND('Mapa DIGSA'!$AD$12="Muy Alta",'Mapa DIGSA'!$AF$12="Leve"),CONCATENATE("R1C",'Mapa DIGSA'!$T$12),"")</f>
        <v/>
      </c>
      <c r="K6" s="40" t="str">
        <f>IF(AND('Mapa DIGSA'!$AD$13="Muy Alta",'Mapa DIGSA'!$AF$13="Leve"),CONCATENATE("R1C",'Mapa DIGSA'!$T$13),"")</f>
        <v/>
      </c>
      <c r="L6" s="40" t="str">
        <f>IF(AND('Mapa DIGSA'!$AD$14="Muy Alta",'Mapa DIGSA'!$AF$14="Leve"),CONCATENATE("R1C",'Mapa DIGSA'!$T$14),"")</f>
        <v/>
      </c>
      <c r="M6" s="40" t="str">
        <f>IF(AND('Mapa DIGSA'!$AD$15="Muy Alta",'Mapa DIGSA'!$AF$15="Leve"),CONCATENATE("R1C",'Mapa DIGSA'!$T$15),"")</f>
        <v/>
      </c>
      <c r="N6" s="40" t="str">
        <f>IF(AND('Mapa DIGSA'!$AD$16="Muy Alta",'Mapa DIGSA'!$AF$16="Leve"),CONCATENATE("R1C",'Mapa DIGSA'!$T$16),"")</f>
        <v/>
      </c>
      <c r="O6" s="41" t="str">
        <f>IF(AND('Mapa DIGSA'!$AD$17="Muy Alta",'Mapa DIGSA'!$AF$17="Leve"),CONCATENATE("R1C",'Mapa DIGSA'!$T$17),"")</f>
        <v/>
      </c>
      <c r="P6" s="39" t="str">
        <f>IF(AND('Mapa DIGSA'!$AD$12="Muy Alta",'Mapa DIGSA'!$AF$12="Menor"),CONCATENATE("R1C",'Mapa DIGSA'!$T$12),"")</f>
        <v/>
      </c>
      <c r="Q6" s="40" t="str">
        <f>IF(AND('Mapa DIGSA'!$AD$13="Muy Alta",'Mapa DIGSA'!$AF$13="Menor"),CONCATENATE("R1C",'Mapa DIGSA'!$T$13),"")</f>
        <v/>
      </c>
      <c r="R6" s="40" t="str">
        <f>IF(AND('Mapa DIGSA'!$AD$14="Muy Alta",'Mapa DIGSA'!$AF$14="Menor"),CONCATENATE("R1C",'Mapa DIGSA'!$T$14),"")</f>
        <v/>
      </c>
      <c r="S6" s="40" t="str">
        <f>IF(AND('Mapa DIGSA'!$AD$15="Muy Alta",'Mapa DIGSA'!$AF$15="Menor"),CONCATENATE("R1C",'Mapa DIGSA'!$T$15),"")</f>
        <v/>
      </c>
      <c r="T6" s="40" t="str">
        <f>IF(AND('Mapa DIGSA'!$AD$16="Muy Alta",'Mapa DIGSA'!$AF$16="Menor"),CONCATENATE("R1C",'Mapa DIGSA'!$T$16),"")</f>
        <v/>
      </c>
      <c r="U6" s="41" t="str">
        <f>IF(AND('Mapa DIGSA'!$AD$17="Muy Alta",'Mapa DIGSA'!$AF$17="Menor"),CONCATENATE("R1C",'Mapa DIGSA'!$T$17),"")</f>
        <v/>
      </c>
      <c r="V6" s="39" t="str">
        <f>IF(AND('Mapa DIGSA'!$AD$12="Muy Alta",'Mapa DIGSA'!$AF$12="Moderado"),CONCATENATE("R1C",'Mapa DIGSA'!$T$12),"")</f>
        <v/>
      </c>
      <c r="W6" s="40" t="str">
        <f>IF(AND('Mapa DIGSA'!$AD$13="Muy Alta",'Mapa DIGSA'!$AF$13="Moderado"),CONCATENATE("R1C",'Mapa DIGSA'!$T$13),"")</f>
        <v/>
      </c>
      <c r="X6" s="40" t="str">
        <f>IF(AND('Mapa DIGSA'!$AD$14="Muy Alta",'Mapa DIGSA'!$AF$14="Moderado"),CONCATENATE("R1C",'Mapa DIGSA'!$T$14),"")</f>
        <v/>
      </c>
      <c r="Y6" s="40" t="str">
        <f>IF(AND('Mapa DIGSA'!$AD$15="Muy Alta",'Mapa DIGSA'!$AF$15="Moderado"),CONCATENATE("R1C",'Mapa DIGSA'!$T$15),"")</f>
        <v/>
      </c>
      <c r="Z6" s="40" t="str">
        <f>IF(AND('Mapa DIGSA'!$AD$16="Muy Alta",'Mapa DIGSA'!$AF$16="Moderado"),CONCATENATE("R1C",'Mapa DIGSA'!$T$16),"")</f>
        <v/>
      </c>
      <c r="AA6" s="41" t="str">
        <f>IF(AND('Mapa DIGSA'!$AD$17="Muy Alta",'Mapa DIGSA'!$AF$17="Moderado"),CONCATENATE("R1C",'Mapa DIGSA'!$T$17),"")</f>
        <v/>
      </c>
      <c r="AB6" s="39" t="str">
        <f>IF(AND('Mapa DIGSA'!$AD$12="Muy Alta",'Mapa DIGSA'!$AF$12="Mayor"),CONCATENATE("R1C",'Mapa DIGSA'!$T$12),"")</f>
        <v/>
      </c>
      <c r="AC6" s="40" t="str">
        <f>IF(AND('Mapa DIGSA'!$AD$13="Muy Alta",'Mapa DIGSA'!$AF$13="Mayor"),CONCATENATE("R1C",'Mapa DIGSA'!$T$13),"")</f>
        <v/>
      </c>
      <c r="AD6" s="40" t="str">
        <f>IF(AND('Mapa DIGSA'!$AD$14="Muy Alta",'Mapa DIGSA'!$AF$14="Mayor"),CONCATENATE("R1C",'Mapa DIGSA'!$T$14),"")</f>
        <v/>
      </c>
      <c r="AE6" s="40" t="str">
        <f>IF(AND('Mapa DIGSA'!$AD$15="Muy Alta",'Mapa DIGSA'!$AF$15="Mayor"),CONCATENATE("R1C",'Mapa DIGSA'!$T$15),"")</f>
        <v/>
      </c>
      <c r="AF6" s="40" t="str">
        <f>IF(AND('Mapa DIGSA'!$AD$16="Muy Alta",'Mapa DIGSA'!$AF$16="Mayor"),CONCATENATE("R1C",'Mapa DIGSA'!$T$16),"")</f>
        <v/>
      </c>
      <c r="AG6" s="41" t="str">
        <f>IF(AND('Mapa DIGSA'!$AD$17="Muy Alta",'Mapa DIGSA'!$AF$17="Mayor"),CONCATENATE("R1C",'Mapa DIGSA'!$T$17),"")</f>
        <v/>
      </c>
      <c r="AH6" s="42" t="str">
        <f>IF(AND('Mapa DIGSA'!$AD$12="Muy Alta",'Mapa DIGSA'!$AF$12="Catastrófico"),CONCATENATE("R1C",'Mapa DIGSA'!$T$12),"")</f>
        <v/>
      </c>
      <c r="AI6" s="43" t="str">
        <f>IF(AND('Mapa DIGSA'!$AD$13="Muy Alta",'Mapa DIGSA'!$AF$13="Catastrófico"),CONCATENATE("R1C",'Mapa DIGSA'!$T$13),"")</f>
        <v/>
      </c>
      <c r="AJ6" s="43" t="str">
        <f>IF(AND('Mapa DIGSA'!$AD$14="Muy Alta",'Mapa DIGSA'!$AF$14="Catastrófico"),CONCATENATE("R1C",'Mapa DIGSA'!$T$14),"")</f>
        <v/>
      </c>
      <c r="AK6" s="43" t="str">
        <f>IF(AND('Mapa DIGSA'!$AD$15="Muy Alta",'Mapa DIGSA'!$AF$15="Catastrófico"),CONCATENATE("R1C",'Mapa DIGSA'!$T$15),"")</f>
        <v/>
      </c>
      <c r="AL6" s="43" t="str">
        <f>IF(AND('Mapa DIGSA'!$AD$16="Muy Alta",'Mapa DIGSA'!$AF$16="Catastrófico"),CONCATENATE("R1C",'Mapa DIGSA'!$T$16),"")</f>
        <v/>
      </c>
      <c r="AM6" s="44" t="str">
        <f>IF(AND('Mapa DIGSA'!$AD$17="Muy Alta",'Mapa DIGSA'!$AF$17="Catastrófico"),CONCATENATE("R1C",'Mapa DIGSA'!$T$17),"")</f>
        <v/>
      </c>
      <c r="AN6" s="10"/>
      <c r="AO6" s="402" t="s">
        <v>73</v>
      </c>
      <c r="AP6" s="403"/>
      <c r="AQ6" s="403"/>
      <c r="AR6" s="403"/>
      <c r="AS6" s="403"/>
      <c r="AT6" s="404"/>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row>
    <row r="7" spans="1:91" ht="15" customHeight="1" x14ac:dyDescent="0.25">
      <c r="A7" s="10"/>
      <c r="B7" s="343"/>
      <c r="C7" s="343"/>
      <c r="D7" s="344"/>
      <c r="E7" s="384"/>
      <c r="F7" s="385"/>
      <c r="G7" s="385"/>
      <c r="H7" s="385"/>
      <c r="I7" s="386"/>
      <c r="J7" s="45" t="str">
        <f>IF(AND('Mapa DIGSA'!$AD$18="Muy Alta",'Mapa DIGSA'!$AF$18="Leve"),CONCATENATE("R2C",'Mapa DIGSA'!$T$18),"")</f>
        <v/>
      </c>
      <c r="K7" s="46" t="str">
        <f>IF(AND('Mapa DIGSA'!$AD$19="Muy Alta",'Mapa DIGSA'!$AF$19="Leve"),CONCATENATE("R2C",'Mapa DIGSA'!$T$19),"")</f>
        <v/>
      </c>
      <c r="L7" s="46" t="str">
        <f>IF(AND('Mapa DIGSA'!$AD$20="Muy Alta",'Mapa DIGSA'!$AF$20="Leve"),CONCATENATE("R2C",'Mapa DIGSA'!$T$20),"")</f>
        <v/>
      </c>
      <c r="M7" s="46" t="str">
        <f>IF(AND('Mapa DIGSA'!$AD$21="Muy Alta",'Mapa DIGSA'!$AF$21="Leve"),CONCATENATE("R2C",'Mapa DIGSA'!$T$21),"")</f>
        <v/>
      </c>
      <c r="N7" s="46" t="str">
        <f>IF(AND('Mapa DIGSA'!$AD$22="Muy Alta",'Mapa DIGSA'!$AF$22="Leve"),CONCATENATE("R2C",'Mapa DIGSA'!$T$22),"")</f>
        <v/>
      </c>
      <c r="O7" s="47" t="str">
        <f>IF(AND('Mapa DIGSA'!$AD$23="Muy Alta",'Mapa DIGSA'!$AF$23="Leve"),CONCATENATE("R2C",'Mapa DIGSA'!$T$23),"")</f>
        <v/>
      </c>
      <c r="P7" s="45" t="str">
        <f>IF(AND('Mapa DIGSA'!$AD$18="Muy Alta",'Mapa DIGSA'!$AF$18="Menor"),CONCATENATE("R2C",'Mapa DIGSA'!$T$18),"")</f>
        <v/>
      </c>
      <c r="Q7" s="46" t="str">
        <f>IF(AND('Mapa DIGSA'!$AD$19="Muy Alta",'Mapa DIGSA'!$AF$19="Menor"),CONCATENATE("R2C",'Mapa DIGSA'!$T$19),"")</f>
        <v/>
      </c>
      <c r="R7" s="46" t="str">
        <f>IF(AND('Mapa DIGSA'!$AD$20="Muy Alta",'Mapa DIGSA'!$AF$20="Menor"),CONCATENATE("R2C",'Mapa DIGSA'!$T$20),"")</f>
        <v/>
      </c>
      <c r="S7" s="46" t="str">
        <f>IF(AND('Mapa DIGSA'!$AD$21="Muy Alta",'Mapa DIGSA'!$AF$21="Menor"),CONCATENATE("R2C",'Mapa DIGSA'!$T$21),"")</f>
        <v/>
      </c>
      <c r="T7" s="46" t="str">
        <f>IF(AND('Mapa DIGSA'!$AD$22="Muy Alta",'Mapa DIGSA'!$AF$22="Menor"),CONCATENATE("R2C",'Mapa DIGSA'!$T$22),"")</f>
        <v/>
      </c>
      <c r="U7" s="47" t="str">
        <f>IF(AND('Mapa DIGSA'!$AD$23="Muy Alta",'Mapa DIGSA'!$AF$23="Menor"),CONCATENATE("R2C",'Mapa DIGSA'!$T$23),"")</f>
        <v/>
      </c>
      <c r="V7" s="45" t="str">
        <f>IF(AND('Mapa DIGSA'!$AD$18="Muy Alta",'Mapa DIGSA'!$AF$18="Moderado"),CONCATENATE("R2C",'Mapa DIGSA'!$T$18),"")</f>
        <v/>
      </c>
      <c r="W7" s="46" t="str">
        <f>IF(AND('Mapa DIGSA'!$AD$19="Muy Alta",'Mapa DIGSA'!$AF$19="Moderado"),CONCATENATE("R2C",'Mapa DIGSA'!$T$19),"")</f>
        <v/>
      </c>
      <c r="X7" s="46" t="str">
        <f>IF(AND('Mapa DIGSA'!$AD$20="Muy Alta",'Mapa DIGSA'!$AF$20="Moderado"),CONCATENATE("R2C",'Mapa DIGSA'!$T$20),"")</f>
        <v/>
      </c>
      <c r="Y7" s="46" t="str">
        <f>IF(AND('Mapa DIGSA'!$AD$21="Muy Alta",'Mapa DIGSA'!$AF$21="Moderado"),CONCATENATE("R2C",'Mapa DIGSA'!$T$21),"")</f>
        <v/>
      </c>
      <c r="Z7" s="46" t="str">
        <f>IF(AND('Mapa DIGSA'!$AD$22="Muy Alta",'Mapa DIGSA'!$AF$22="Moderado"),CONCATENATE("R2C",'Mapa DIGSA'!$T$22),"")</f>
        <v/>
      </c>
      <c r="AA7" s="47" t="str">
        <f>IF(AND('Mapa DIGSA'!$AD$23="Muy Alta",'Mapa DIGSA'!$AF$23="Moderado"),CONCATENATE("R2C",'Mapa DIGSA'!$T$23),"")</f>
        <v/>
      </c>
      <c r="AB7" s="45" t="str">
        <f>IF(AND('Mapa DIGSA'!$AD$18="Muy Alta",'Mapa DIGSA'!$AF$18="Mayor"),CONCATENATE("R2C",'Mapa DIGSA'!$T$18),"")</f>
        <v/>
      </c>
      <c r="AC7" s="46" t="str">
        <f>IF(AND('Mapa DIGSA'!$AD$19="Muy Alta",'Mapa DIGSA'!$AF$19="Mayor"),CONCATENATE("R2C",'Mapa DIGSA'!$T$19),"")</f>
        <v/>
      </c>
      <c r="AD7" s="46" t="str">
        <f>IF(AND('Mapa DIGSA'!$AD$20="Muy Alta",'Mapa DIGSA'!$AF$20="Mayor"),CONCATENATE("R2C",'Mapa DIGSA'!$T$20),"")</f>
        <v/>
      </c>
      <c r="AE7" s="46" t="str">
        <f>IF(AND('Mapa DIGSA'!$AD$21="Muy Alta",'Mapa DIGSA'!$AF$21="Mayor"),CONCATENATE("R2C",'Mapa DIGSA'!$T$21),"")</f>
        <v/>
      </c>
      <c r="AF7" s="46" t="str">
        <f>IF(AND('Mapa DIGSA'!$AD$22="Muy Alta",'Mapa DIGSA'!$AF$22="Mayor"),CONCATENATE("R2C",'Mapa DIGSA'!$T$22),"")</f>
        <v/>
      </c>
      <c r="AG7" s="47" t="str">
        <f>IF(AND('Mapa DIGSA'!$AD$23="Muy Alta",'Mapa DIGSA'!$AF$23="Mayor"),CONCATENATE("R2C",'Mapa DIGSA'!$T$23),"")</f>
        <v/>
      </c>
      <c r="AH7" s="48" t="str">
        <f>IF(AND('Mapa DIGSA'!$AD$18="Muy Alta",'Mapa DIGSA'!$AF$18="Catastrófico"),CONCATENATE("R2C",'Mapa DIGSA'!$T$18),"")</f>
        <v/>
      </c>
      <c r="AI7" s="49" t="str">
        <f>IF(AND('Mapa DIGSA'!$AD$19="Muy Alta",'Mapa DIGSA'!$AF$19="Catastrófico"),CONCATENATE("R2C",'Mapa DIGSA'!$T$19),"")</f>
        <v/>
      </c>
      <c r="AJ7" s="49" t="str">
        <f>IF(AND('Mapa DIGSA'!$AD$20="Muy Alta",'Mapa DIGSA'!$AF$20="Catastrófico"),CONCATENATE("R2C",'Mapa DIGSA'!$T$20),"")</f>
        <v/>
      </c>
      <c r="AK7" s="49" t="str">
        <f>IF(AND('Mapa DIGSA'!$AD$21="Muy Alta",'Mapa DIGSA'!$AF$21="Catastrófico"),CONCATENATE("R2C",'Mapa DIGSA'!$T$21),"")</f>
        <v/>
      </c>
      <c r="AL7" s="49" t="str">
        <f>IF(AND('Mapa DIGSA'!$AD$22="Muy Alta",'Mapa DIGSA'!$AF$22="Catastrófico"),CONCATENATE("R2C",'Mapa DIGSA'!$T$22),"")</f>
        <v/>
      </c>
      <c r="AM7" s="50" t="str">
        <f>IF(AND('Mapa DIGSA'!$AD$23="Muy Alta",'Mapa DIGSA'!$AF$23="Catastrófico"),CONCATENATE("R2C",'Mapa DIGSA'!$T$23),"")</f>
        <v/>
      </c>
      <c r="AN7" s="10"/>
      <c r="AO7" s="405"/>
      <c r="AP7" s="406"/>
      <c r="AQ7" s="406"/>
      <c r="AR7" s="406"/>
      <c r="AS7" s="406"/>
      <c r="AT7" s="407"/>
      <c r="AU7" s="10"/>
      <c r="AV7" s="10"/>
      <c r="AW7" s="10"/>
      <c r="AX7" s="10"/>
      <c r="AY7" s="10"/>
      <c r="AZ7" s="10"/>
      <c r="BA7" s="10"/>
      <c r="BB7" s="10"/>
      <c r="BC7" s="10"/>
      <c r="BD7" s="10"/>
      <c r="BE7" s="10"/>
      <c r="BF7" s="10"/>
      <c r="BG7" s="10"/>
      <c r="BH7" s="10"/>
      <c r="BI7" s="10"/>
      <c r="BJ7" s="10"/>
      <c r="BK7" s="10"/>
      <c r="BL7" s="10"/>
      <c r="BM7" s="10"/>
      <c r="BN7" s="10"/>
      <c r="BO7" s="10"/>
      <c r="BP7" s="10"/>
      <c r="BQ7" s="10"/>
      <c r="BR7" s="10"/>
      <c r="BS7" s="10"/>
      <c r="BT7" s="10"/>
      <c r="BU7" s="10"/>
      <c r="BV7" s="10"/>
      <c r="BW7" s="10"/>
      <c r="BX7" s="10"/>
    </row>
    <row r="8" spans="1:91" ht="15" customHeight="1" x14ac:dyDescent="0.25">
      <c r="A8" s="10"/>
      <c r="B8" s="343"/>
      <c r="C8" s="343"/>
      <c r="D8" s="344"/>
      <c r="E8" s="384"/>
      <c r="F8" s="385"/>
      <c r="G8" s="385"/>
      <c r="H8" s="385"/>
      <c r="I8" s="386"/>
      <c r="J8" s="45" t="str">
        <f>IF(AND('Mapa DIGSA'!$AD$24="Muy Alta",'Mapa DIGSA'!$AF$24="Leve"),CONCATENATE("R3C",'Mapa DIGSA'!$T$24),"")</f>
        <v/>
      </c>
      <c r="K8" s="46" t="str">
        <f>IF(AND('Mapa DIGSA'!$AD$25="Muy Alta",'Mapa DIGSA'!$AF$25="Leve"),CONCATENATE("R3C",'Mapa DIGSA'!$T$25),"")</f>
        <v/>
      </c>
      <c r="L8" s="46" t="str">
        <f>IF(AND('Mapa DIGSA'!$AD$26="Muy Alta",'Mapa DIGSA'!$AF$26="Leve"),CONCATENATE("R3C",'Mapa DIGSA'!$T$26),"")</f>
        <v/>
      </c>
      <c r="M8" s="46" t="str">
        <f>IF(AND('Mapa DIGSA'!$AD$27="Muy Alta",'Mapa DIGSA'!$AF$27="Leve"),CONCATENATE("R3C",'Mapa DIGSA'!$T$27),"")</f>
        <v/>
      </c>
      <c r="N8" s="46" t="str">
        <f>IF(AND('Mapa DIGSA'!$AD$28="Muy Alta",'Mapa DIGSA'!$AF$28="Leve"),CONCATENATE("R3C",'Mapa DIGSA'!$T$28),"")</f>
        <v/>
      </c>
      <c r="O8" s="47" t="str">
        <f>IF(AND('Mapa DIGSA'!$AD$29="Muy Alta",'Mapa DIGSA'!$AF$29="Leve"),CONCATENATE("R3C",'Mapa DIGSA'!$T$29),"")</f>
        <v/>
      </c>
      <c r="P8" s="45" t="str">
        <f>IF(AND('Mapa DIGSA'!$AD$24="Muy Alta",'Mapa DIGSA'!$AF$24="Menor"),CONCATENATE("R3C",'Mapa DIGSA'!$T$24),"")</f>
        <v/>
      </c>
      <c r="Q8" s="46" t="str">
        <f>IF(AND('Mapa DIGSA'!$AD$25="Muy Alta",'Mapa DIGSA'!$AF$25="Menor"),CONCATENATE("R3C",'Mapa DIGSA'!$T$25),"")</f>
        <v/>
      </c>
      <c r="R8" s="46" t="str">
        <f>IF(AND('Mapa DIGSA'!$AD$26="Muy Alta",'Mapa DIGSA'!$AF$26="Menor"),CONCATENATE("R3C",'Mapa DIGSA'!$T$26),"")</f>
        <v/>
      </c>
      <c r="S8" s="46" t="str">
        <f>IF(AND('Mapa DIGSA'!$AD$27="Muy Alta",'Mapa DIGSA'!$AF$27="Menor"),CONCATENATE("R3C",'Mapa DIGSA'!$T$27),"")</f>
        <v/>
      </c>
      <c r="T8" s="46" t="str">
        <f>IF(AND('Mapa DIGSA'!$AD$28="Muy Alta",'Mapa DIGSA'!$AF$28="Menor"),CONCATENATE("R3C",'Mapa DIGSA'!$T$28),"")</f>
        <v/>
      </c>
      <c r="U8" s="47" t="str">
        <f>IF(AND('Mapa DIGSA'!$AD$29="Muy Alta",'Mapa DIGSA'!$AF$29="Menor"),CONCATENATE("R3C",'Mapa DIGSA'!$T$29),"")</f>
        <v/>
      </c>
      <c r="V8" s="45" t="str">
        <f>IF(AND('Mapa DIGSA'!$AD$24="Muy Alta",'Mapa DIGSA'!$AF$24="Moderado"),CONCATENATE("R3C",'Mapa DIGSA'!$T$24),"")</f>
        <v/>
      </c>
      <c r="W8" s="46" t="str">
        <f>IF(AND('Mapa DIGSA'!$AD$25="Muy Alta",'Mapa DIGSA'!$AF$25="Moderado"),CONCATENATE("R3C",'Mapa DIGSA'!$T$25),"")</f>
        <v/>
      </c>
      <c r="X8" s="46" t="str">
        <f>IF(AND('Mapa DIGSA'!$AD$26="Muy Alta",'Mapa DIGSA'!$AF$26="Moderado"),CONCATENATE("R3C",'Mapa DIGSA'!$T$26),"")</f>
        <v/>
      </c>
      <c r="Y8" s="46" t="str">
        <f>IF(AND('Mapa DIGSA'!$AD$27="Muy Alta",'Mapa DIGSA'!$AF$27="Moderado"),CONCATENATE("R3C",'Mapa DIGSA'!$T$27),"")</f>
        <v/>
      </c>
      <c r="Z8" s="46" t="str">
        <f>IF(AND('Mapa DIGSA'!$AD$28="Muy Alta",'Mapa DIGSA'!$AF$28="Moderado"),CONCATENATE("R3C",'Mapa DIGSA'!$T$28),"")</f>
        <v/>
      </c>
      <c r="AA8" s="47" t="str">
        <f>IF(AND('Mapa DIGSA'!$AD$29="Muy Alta",'Mapa DIGSA'!$AF$29="Moderado"),CONCATENATE("R3C",'Mapa DIGSA'!$T$29),"")</f>
        <v/>
      </c>
      <c r="AB8" s="45" t="str">
        <f>IF(AND('Mapa DIGSA'!$AD$24="Muy Alta",'Mapa DIGSA'!$AF$24="Mayor"),CONCATENATE("R3C",'Mapa DIGSA'!$T$24),"")</f>
        <v/>
      </c>
      <c r="AC8" s="46" t="str">
        <f>IF(AND('Mapa DIGSA'!$AD$25="Muy Alta",'Mapa DIGSA'!$AF$25="Mayor"),CONCATENATE("R3C",'Mapa DIGSA'!$T$25),"")</f>
        <v/>
      </c>
      <c r="AD8" s="46" t="str">
        <f>IF(AND('Mapa DIGSA'!$AD$26="Muy Alta",'Mapa DIGSA'!$AF$26="Mayor"),CONCATENATE("R3C",'Mapa DIGSA'!$T$26),"")</f>
        <v/>
      </c>
      <c r="AE8" s="46" t="str">
        <f>IF(AND('Mapa DIGSA'!$AD$27="Muy Alta",'Mapa DIGSA'!$AF$27="Mayor"),CONCATENATE("R3C",'Mapa DIGSA'!$T$27),"")</f>
        <v/>
      </c>
      <c r="AF8" s="46" t="str">
        <f>IF(AND('Mapa DIGSA'!$AD$28="Muy Alta",'Mapa DIGSA'!$AF$28="Mayor"),CONCATENATE("R3C",'Mapa DIGSA'!$T$28),"")</f>
        <v/>
      </c>
      <c r="AG8" s="47" t="str">
        <f>IF(AND('Mapa DIGSA'!$AD$29="Muy Alta",'Mapa DIGSA'!$AF$29="Mayor"),CONCATENATE("R3C",'Mapa DIGSA'!$T$29),"")</f>
        <v/>
      </c>
      <c r="AH8" s="48" t="str">
        <f>IF(AND('Mapa DIGSA'!$AD$24="Muy Alta",'Mapa DIGSA'!$AF$24="Catastrófico"),CONCATENATE("R3C",'Mapa DIGSA'!$T$24),"")</f>
        <v/>
      </c>
      <c r="AI8" s="49" t="str">
        <f>IF(AND('Mapa DIGSA'!$AD$25="Muy Alta",'Mapa DIGSA'!$AF$25="Catastrófico"),CONCATENATE("R3C",'Mapa DIGSA'!$T$25),"")</f>
        <v/>
      </c>
      <c r="AJ8" s="49" t="str">
        <f>IF(AND('Mapa DIGSA'!$AD$26="Muy Alta",'Mapa DIGSA'!$AF$26="Catastrófico"),CONCATENATE("R3C",'Mapa DIGSA'!$T$26),"")</f>
        <v/>
      </c>
      <c r="AK8" s="49" t="str">
        <f>IF(AND('Mapa DIGSA'!$AD$27="Muy Alta",'Mapa DIGSA'!$AF$27="Catastrófico"),CONCATENATE("R3C",'Mapa DIGSA'!$T$27),"")</f>
        <v/>
      </c>
      <c r="AL8" s="49" t="str">
        <f>IF(AND('Mapa DIGSA'!$AD$28="Muy Alta",'Mapa DIGSA'!$AF$28="Catastrófico"),CONCATENATE("R3C",'Mapa DIGSA'!$T$28),"")</f>
        <v/>
      </c>
      <c r="AM8" s="50" t="str">
        <f>IF(AND('Mapa DIGSA'!$AD$29="Muy Alta",'Mapa DIGSA'!$AF$29="Catastrófico"),CONCATENATE("R3C",'Mapa DIGSA'!$T$29),"")</f>
        <v/>
      </c>
      <c r="AN8" s="10"/>
      <c r="AO8" s="405"/>
      <c r="AP8" s="406"/>
      <c r="AQ8" s="406"/>
      <c r="AR8" s="406"/>
      <c r="AS8" s="406"/>
      <c r="AT8" s="407"/>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row>
    <row r="9" spans="1:91" ht="15" customHeight="1" x14ac:dyDescent="0.25">
      <c r="A9" s="10"/>
      <c r="B9" s="343"/>
      <c r="C9" s="343"/>
      <c r="D9" s="344"/>
      <c r="E9" s="384"/>
      <c r="F9" s="385"/>
      <c r="G9" s="385"/>
      <c r="H9" s="385"/>
      <c r="I9" s="386"/>
      <c r="J9" s="45" t="str">
        <f>IF(AND('Mapa DIGSA'!$AD$30="Muy Alta",'Mapa DIGSA'!$AF$30="Leve"),CONCATENATE("R4C",'Mapa DIGSA'!$T$30),"")</f>
        <v/>
      </c>
      <c r="K9" s="46" t="str">
        <f>IF(AND('Mapa DIGSA'!$AD$31="Muy Alta",'Mapa DIGSA'!$AF$31="Leve"),CONCATENATE("R4C",'Mapa DIGSA'!$T$31),"")</f>
        <v/>
      </c>
      <c r="L9" s="51" t="str">
        <f>IF(AND('Mapa DIGSA'!$AD$32="Muy Alta",'Mapa DIGSA'!$AF$32="Leve"),CONCATENATE("R4C",'Mapa DIGSA'!$T$32),"")</f>
        <v/>
      </c>
      <c r="M9" s="51" t="str">
        <f>IF(AND('Mapa DIGSA'!$AD$33="Muy Alta",'Mapa DIGSA'!$AF$33="Leve"),CONCATENATE("R4C",'Mapa DIGSA'!$T$33),"")</f>
        <v/>
      </c>
      <c r="N9" s="51" t="str">
        <f>IF(AND('Mapa DIGSA'!$AD$34="Muy Alta",'Mapa DIGSA'!$AF$34="Leve"),CONCATENATE("R4C",'Mapa DIGSA'!$T$34),"")</f>
        <v/>
      </c>
      <c r="O9" s="47" t="str">
        <f>IF(AND('Mapa DIGSA'!$AD$35="Muy Alta",'Mapa DIGSA'!$AF$35="Leve"),CONCATENATE("R4C",'Mapa DIGSA'!$T$35),"")</f>
        <v/>
      </c>
      <c r="P9" s="45" t="str">
        <f>IF(AND('Mapa DIGSA'!$AD$30="Muy Alta",'Mapa DIGSA'!$AF$30="Menor"),CONCATENATE("R4C",'Mapa DIGSA'!$T$30),"")</f>
        <v/>
      </c>
      <c r="Q9" s="46" t="str">
        <f>IF(AND('Mapa DIGSA'!$AD$31="Muy Alta",'Mapa DIGSA'!$AF$31="Menor"),CONCATENATE("R4C",'Mapa DIGSA'!$T$31),"")</f>
        <v/>
      </c>
      <c r="R9" s="51" t="str">
        <f>IF(AND('Mapa DIGSA'!$AD$32="Muy Alta",'Mapa DIGSA'!$AF$32="Menor"),CONCATENATE("R4C",'Mapa DIGSA'!$T$32),"")</f>
        <v/>
      </c>
      <c r="S9" s="51" t="str">
        <f>IF(AND('Mapa DIGSA'!$AD$33="Muy Alta",'Mapa DIGSA'!$AF$33="Menor"),CONCATENATE("R4C",'Mapa DIGSA'!$T$33),"")</f>
        <v/>
      </c>
      <c r="T9" s="51" t="str">
        <f>IF(AND('Mapa DIGSA'!$AD$34="Muy Alta",'Mapa DIGSA'!$AF$34="Menor"),CONCATENATE("R4C",'Mapa DIGSA'!$T$34),"")</f>
        <v/>
      </c>
      <c r="U9" s="47" t="str">
        <f>IF(AND('Mapa DIGSA'!$AD$35="Muy Alta",'Mapa DIGSA'!$AF$35="Menor"),CONCATENATE("R4C",'Mapa DIGSA'!$T$35),"")</f>
        <v/>
      </c>
      <c r="V9" s="45" t="str">
        <f>IF(AND('Mapa DIGSA'!$AD$30="Muy Alta",'Mapa DIGSA'!$AF$30="Moderado"),CONCATENATE("R4C",'Mapa DIGSA'!$T$30),"")</f>
        <v/>
      </c>
      <c r="W9" s="46" t="str">
        <f>IF(AND('Mapa DIGSA'!$AD$31="Muy Alta",'Mapa DIGSA'!$AF$31="Moderado"),CONCATENATE("R4C",'Mapa DIGSA'!$T$31),"")</f>
        <v/>
      </c>
      <c r="X9" s="51" t="str">
        <f>IF(AND('Mapa DIGSA'!$AD$32="Muy Alta",'Mapa DIGSA'!$AF$32="Moderado"),CONCATENATE("R4C",'Mapa DIGSA'!$T$32),"")</f>
        <v/>
      </c>
      <c r="Y9" s="51" t="str">
        <f>IF(AND('Mapa DIGSA'!$AD$33="Muy Alta",'Mapa DIGSA'!$AF$33="Moderado"),CONCATENATE("R4C",'Mapa DIGSA'!$T$33),"")</f>
        <v/>
      </c>
      <c r="Z9" s="51" t="str">
        <f>IF(AND('Mapa DIGSA'!$AD$34="Muy Alta",'Mapa DIGSA'!$AF$34="Moderado"),CONCATENATE("R4C",'Mapa DIGSA'!$T$34),"")</f>
        <v/>
      </c>
      <c r="AA9" s="47" t="str">
        <f>IF(AND('Mapa DIGSA'!$AD$35="Muy Alta",'Mapa DIGSA'!$AF$35="Moderado"),CONCATENATE("R4C",'Mapa DIGSA'!$T$35),"")</f>
        <v/>
      </c>
      <c r="AB9" s="45" t="str">
        <f>IF(AND('Mapa DIGSA'!$AD$30="Muy Alta",'Mapa DIGSA'!$AF$30="Mayor"),CONCATENATE("R4C",'Mapa DIGSA'!$T$30),"")</f>
        <v/>
      </c>
      <c r="AC9" s="46" t="str">
        <f>IF(AND('Mapa DIGSA'!$AD$31="Muy Alta",'Mapa DIGSA'!$AF$31="Mayor"),CONCATENATE("R4C",'Mapa DIGSA'!$T$31),"")</f>
        <v/>
      </c>
      <c r="AD9" s="51" t="str">
        <f>IF(AND('Mapa DIGSA'!$AD$32="Muy Alta",'Mapa DIGSA'!$AF$32="Mayor"),CONCATENATE("R4C",'Mapa DIGSA'!$T$32),"")</f>
        <v/>
      </c>
      <c r="AE9" s="51" t="str">
        <f>IF(AND('Mapa DIGSA'!$AD$33="Muy Alta",'Mapa DIGSA'!$AF$33="Mayor"),CONCATENATE("R4C",'Mapa DIGSA'!$T$33),"")</f>
        <v/>
      </c>
      <c r="AF9" s="51" t="str">
        <f>IF(AND('Mapa DIGSA'!$AD$34="Muy Alta",'Mapa DIGSA'!$AF$34="Mayor"),CONCATENATE("R4C",'Mapa DIGSA'!$T$34),"")</f>
        <v/>
      </c>
      <c r="AG9" s="47" t="str">
        <f>IF(AND('Mapa DIGSA'!$AD$35="Muy Alta",'Mapa DIGSA'!$AF$35="Mayor"),CONCATENATE("R4C",'Mapa DIGSA'!$T$35),"")</f>
        <v/>
      </c>
      <c r="AH9" s="48" t="str">
        <f>IF(AND('Mapa DIGSA'!$AD$30="Muy Alta",'Mapa DIGSA'!$AF$30="Catastrófico"),CONCATENATE("R4C",'Mapa DIGSA'!$T$30),"")</f>
        <v/>
      </c>
      <c r="AI9" s="49" t="str">
        <f>IF(AND('Mapa DIGSA'!$AD$31="Muy Alta",'Mapa DIGSA'!$AF$31="Catastrófico"),CONCATENATE("R4C",'Mapa DIGSA'!$T$31),"")</f>
        <v/>
      </c>
      <c r="AJ9" s="49" t="str">
        <f>IF(AND('Mapa DIGSA'!$AD$32="Muy Alta",'Mapa DIGSA'!$AF$32="Catastrófico"),CONCATENATE("R4C",'Mapa DIGSA'!$T$32),"")</f>
        <v/>
      </c>
      <c r="AK9" s="49" t="str">
        <f>IF(AND('Mapa DIGSA'!$AD$33="Muy Alta",'Mapa DIGSA'!$AF$33="Catastrófico"),CONCATENATE("R4C",'Mapa DIGSA'!$T$33),"")</f>
        <v/>
      </c>
      <c r="AL9" s="49" t="str">
        <f>IF(AND('Mapa DIGSA'!$AD$34="Muy Alta",'Mapa DIGSA'!$AF$34="Catastrófico"),CONCATENATE("R4C",'Mapa DIGSA'!$T$34),"")</f>
        <v/>
      </c>
      <c r="AM9" s="50" t="str">
        <f>IF(AND('Mapa DIGSA'!$AD$35="Muy Alta",'Mapa DIGSA'!$AF$35="Catastrófico"),CONCATENATE("R4C",'Mapa DIGSA'!$T$35),"")</f>
        <v/>
      </c>
      <c r="AN9" s="10"/>
      <c r="AO9" s="405"/>
      <c r="AP9" s="406"/>
      <c r="AQ9" s="406"/>
      <c r="AR9" s="406"/>
      <c r="AS9" s="406"/>
      <c r="AT9" s="407"/>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row>
    <row r="10" spans="1:91" ht="15" customHeight="1" x14ac:dyDescent="0.25">
      <c r="A10" s="10"/>
      <c r="B10" s="343"/>
      <c r="C10" s="343"/>
      <c r="D10" s="344"/>
      <c r="E10" s="384"/>
      <c r="F10" s="385"/>
      <c r="G10" s="385"/>
      <c r="H10" s="385"/>
      <c r="I10" s="386"/>
      <c r="J10" s="45" t="str">
        <f>IF(AND('Mapa DIGSA'!$AD$36="Muy Alta",'Mapa DIGSA'!$AF$36="Leve"),CONCATENATE("R5C",'Mapa DIGSA'!$T$36),"")</f>
        <v/>
      </c>
      <c r="K10" s="46" t="str">
        <f>IF(AND('Mapa DIGSA'!$AD$37="Muy Alta",'Mapa DIGSA'!$AF$37="Leve"),CONCATENATE("R5C",'Mapa DIGSA'!$T$37),"")</f>
        <v/>
      </c>
      <c r="L10" s="51" t="str">
        <f>IF(AND('Mapa DIGSA'!$AD$38="Muy Alta",'Mapa DIGSA'!$AF$38="Leve"),CONCATENATE("R5C",'Mapa DIGSA'!$T$38),"")</f>
        <v/>
      </c>
      <c r="M10" s="51" t="str">
        <f>IF(AND('Mapa DIGSA'!$AD$39="Muy Alta",'Mapa DIGSA'!$AF$39="Leve"),CONCATENATE("R5C",'Mapa DIGSA'!$T$39),"")</f>
        <v/>
      </c>
      <c r="N10" s="51" t="str">
        <f>IF(AND('Mapa DIGSA'!$AD$40="Muy Alta",'Mapa DIGSA'!$AF$40="Leve"),CONCATENATE("R5C",'Mapa DIGSA'!$T$40),"")</f>
        <v/>
      </c>
      <c r="O10" s="47" t="str">
        <f>IF(AND('Mapa DIGSA'!$AD$41="Muy Alta",'Mapa DIGSA'!$AF$41="Leve"),CONCATENATE("R5C",'Mapa DIGSA'!$T$41),"")</f>
        <v/>
      </c>
      <c r="P10" s="45" t="str">
        <f>IF(AND('Mapa DIGSA'!$AD$36="Muy Alta",'Mapa DIGSA'!$AF$36="Menor"),CONCATENATE("R5C",'Mapa DIGSA'!$T$36),"")</f>
        <v/>
      </c>
      <c r="Q10" s="46" t="str">
        <f>IF(AND('Mapa DIGSA'!$AD$37="Muy Alta",'Mapa DIGSA'!$AF$37="Menor"),CONCATENATE("R5C",'Mapa DIGSA'!$T$37),"")</f>
        <v/>
      </c>
      <c r="R10" s="51" t="str">
        <f>IF(AND('Mapa DIGSA'!$AD$38="Muy Alta",'Mapa DIGSA'!$AF$38="Menor"),CONCATENATE("R5C",'Mapa DIGSA'!$T$38),"")</f>
        <v/>
      </c>
      <c r="S10" s="51" t="str">
        <f>IF(AND('Mapa DIGSA'!$AD$39="Muy Alta",'Mapa DIGSA'!$AF$39="Menor"),CONCATENATE("R5C",'Mapa DIGSA'!$T$39),"")</f>
        <v/>
      </c>
      <c r="T10" s="51" t="str">
        <f>IF(AND('Mapa DIGSA'!$AD$40="Muy Alta",'Mapa DIGSA'!$AF$40="Menor"),CONCATENATE("R5C",'Mapa DIGSA'!$T$40),"")</f>
        <v/>
      </c>
      <c r="U10" s="47" t="str">
        <f>IF(AND('Mapa DIGSA'!$AD$41="Muy Alta",'Mapa DIGSA'!$AF$41="Menor"),CONCATENATE("R5C",'Mapa DIGSA'!$T$41),"")</f>
        <v/>
      </c>
      <c r="V10" s="45" t="str">
        <f>IF(AND('Mapa DIGSA'!$AD$36="Muy Alta",'Mapa DIGSA'!$AF$36="Moderado"),CONCATENATE("R5C",'Mapa DIGSA'!$T$36),"")</f>
        <v/>
      </c>
      <c r="W10" s="46" t="str">
        <f>IF(AND('Mapa DIGSA'!$AD$37="Muy Alta",'Mapa DIGSA'!$AF$37="Moderado"),CONCATENATE("R5C",'Mapa DIGSA'!$T$37),"")</f>
        <v/>
      </c>
      <c r="X10" s="51" t="str">
        <f>IF(AND('Mapa DIGSA'!$AD$38="Muy Alta",'Mapa DIGSA'!$AF$38="Moderado"),CONCATENATE("R5C",'Mapa DIGSA'!$T$38),"")</f>
        <v/>
      </c>
      <c r="Y10" s="51" t="str">
        <f>IF(AND('Mapa DIGSA'!$AD$39="Muy Alta",'Mapa DIGSA'!$AF$39="Moderado"),CONCATENATE("R5C",'Mapa DIGSA'!$T$39),"")</f>
        <v/>
      </c>
      <c r="Z10" s="51" t="str">
        <f>IF(AND('Mapa DIGSA'!$AD$40="Muy Alta",'Mapa DIGSA'!$AF$40="Moderado"),CONCATENATE("R5C",'Mapa DIGSA'!$T$40),"")</f>
        <v/>
      </c>
      <c r="AA10" s="47" t="str">
        <f>IF(AND('Mapa DIGSA'!$AD$41="Muy Alta",'Mapa DIGSA'!$AF$41="Moderado"),CONCATENATE("R5C",'Mapa DIGSA'!$T$41),"")</f>
        <v/>
      </c>
      <c r="AB10" s="45" t="str">
        <f>IF(AND('Mapa DIGSA'!$AD$36="Muy Alta",'Mapa DIGSA'!$AF$36="Mayor"),CONCATENATE("R5C",'Mapa DIGSA'!$T$36),"")</f>
        <v/>
      </c>
      <c r="AC10" s="46" t="str">
        <f>IF(AND('Mapa DIGSA'!$AD$37="Muy Alta",'Mapa DIGSA'!$AF$37="Mayor"),CONCATENATE("R5C",'Mapa DIGSA'!$T$37),"")</f>
        <v/>
      </c>
      <c r="AD10" s="51" t="str">
        <f>IF(AND('Mapa DIGSA'!$AD$38="Muy Alta",'Mapa DIGSA'!$AF$38="Mayor"),CONCATENATE("R5C",'Mapa DIGSA'!$T$38),"")</f>
        <v/>
      </c>
      <c r="AE10" s="51" t="str">
        <f>IF(AND('Mapa DIGSA'!$AD$39="Muy Alta",'Mapa DIGSA'!$AF$39="Mayor"),CONCATENATE("R5C",'Mapa DIGSA'!$T$39),"")</f>
        <v/>
      </c>
      <c r="AF10" s="51" t="str">
        <f>IF(AND('Mapa DIGSA'!$AD$40="Muy Alta",'Mapa DIGSA'!$AF$40="Mayor"),CONCATENATE("R5C",'Mapa DIGSA'!$T$40),"")</f>
        <v/>
      </c>
      <c r="AG10" s="47" t="str">
        <f>IF(AND('Mapa DIGSA'!$AD$41="Muy Alta",'Mapa DIGSA'!$AF$41="Mayor"),CONCATENATE("R5C",'Mapa DIGSA'!$T$41),"")</f>
        <v/>
      </c>
      <c r="AH10" s="48" t="str">
        <f>IF(AND('Mapa DIGSA'!$AD$36="Muy Alta",'Mapa DIGSA'!$AF$36="Catastrófico"),CONCATENATE("R5C",'Mapa DIGSA'!$T$36),"")</f>
        <v/>
      </c>
      <c r="AI10" s="49" t="str">
        <f>IF(AND('Mapa DIGSA'!$AD$37="Muy Alta",'Mapa DIGSA'!$AF$37="Catastrófico"),CONCATENATE("R5C",'Mapa DIGSA'!$T$37),"")</f>
        <v/>
      </c>
      <c r="AJ10" s="49" t="str">
        <f>IF(AND('Mapa DIGSA'!$AD$38="Muy Alta",'Mapa DIGSA'!$AF$38="Catastrófico"),CONCATENATE("R5C",'Mapa DIGSA'!$T$38),"")</f>
        <v/>
      </c>
      <c r="AK10" s="49" t="str">
        <f>IF(AND('Mapa DIGSA'!$AD$39="Muy Alta",'Mapa DIGSA'!$AF$39="Catastrófico"),CONCATENATE("R5C",'Mapa DIGSA'!$T$39),"")</f>
        <v/>
      </c>
      <c r="AL10" s="49" t="str">
        <f>IF(AND('Mapa DIGSA'!$AD$40="Muy Alta",'Mapa DIGSA'!$AF$40="Catastrófico"),CONCATENATE("R5C",'Mapa DIGSA'!$T$40),"")</f>
        <v/>
      </c>
      <c r="AM10" s="50" t="str">
        <f>IF(AND('Mapa DIGSA'!$AD$41="Muy Alta",'Mapa DIGSA'!$AF$41="Catastrófico"),CONCATENATE("R5C",'Mapa DIGSA'!$T$41),"")</f>
        <v/>
      </c>
      <c r="AN10" s="10"/>
      <c r="AO10" s="405"/>
      <c r="AP10" s="406"/>
      <c r="AQ10" s="406"/>
      <c r="AR10" s="406"/>
      <c r="AS10" s="406"/>
      <c r="AT10" s="407"/>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row>
    <row r="11" spans="1:91" ht="15" customHeight="1" x14ac:dyDescent="0.25">
      <c r="A11" s="10"/>
      <c r="B11" s="343"/>
      <c r="C11" s="343"/>
      <c r="D11" s="344"/>
      <c r="E11" s="384"/>
      <c r="F11" s="385"/>
      <c r="G11" s="385"/>
      <c r="H11" s="385"/>
      <c r="I11" s="386"/>
      <c r="J11" s="45" t="str">
        <f>IF(AND('Mapa DIGSA'!$AD$42="Muy Alta",'Mapa DIGSA'!$AF$42="Leve"),CONCATENATE("R6C",'Mapa DIGSA'!$T$42),"")</f>
        <v/>
      </c>
      <c r="K11" s="46" t="str">
        <f>IF(AND('Mapa DIGSA'!$AD$43="Muy Alta",'Mapa DIGSA'!$AF$43="Leve"),CONCATENATE("R6C",'Mapa DIGSA'!$T$43),"")</f>
        <v/>
      </c>
      <c r="L11" s="51" t="str">
        <f>IF(AND('Mapa DIGSA'!$AD$44="Muy Alta",'Mapa DIGSA'!$AF$44="Leve"),CONCATENATE("R6C",'Mapa DIGSA'!$T$44),"")</f>
        <v/>
      </c>
      <c r="M11" s="51" t="str">
        <f>IF(AND('Mapa DIGSA'!$AD$45="Muy Alta",'Mapa DIGSA'!$AF$45="Leve"),CONCATENATE("R6C",'Mapa DIGSA'!$T$45),"")</f>
        <v/>
      </c>
      <c r="N11" s="51" t="str">
        <f>IF(AND('Mapa DIGSA'!$AD$46="Muy Alta",'Mapa DIGSA'!$AF$46="Leve"),CONCATENATE("R6C",'Mapa DIGSA'!$T$46),"")</f>
        <v/>
      </c>
      <c r="O11" s="47" t="str">
        <f>IF(AND('Mapa DIGSA'!$AD$47="Muy Alta",'Mapa DIGSA'!$AF$47="Leve"),CONCATENATE("R6C",'Mapa DIGSA'!$T$47),"")</f>
        <v/>
      </c>
      <c r="P11" s="45" t="str">
        <f>IF(AND('Mapa DIGSA'!$AD$42="Muy Alta",'Mapa DIGSA'!$AF$42="Menor"),CONCATENATE("R6C",'Mapa DIGSA'!$T$42),"")</f>
        <v/>
      </c>
      <c r="Q11" s="46" t="str">
        <f>IF(AND('Mapa DIGSA'!$AD$43="Muy Alta",'Mapa DIGSA'!$AF$43="Menor"),CONCATENATE("R6C",'Mapa DIGSA'!$T$43),"")</f>
        <v/>
      </c>
      <c r="R11" s="51" t="str">
        <f>IF(AND('Mapa DIGSA'!$AD$44="Muy Alta",'Mapa DIGSA'!$AF$44="Menor"),CONCATENATE("R6C",'Mapa DIGSA'!$T$44),"")</f>
        <v/>
      </c>
      <c r="S11" s="51" t="str">
        <f>IF(AND('Mapa DIGSA'!$AD$45="Muy Alta",'Mapa DIGSA'!$AF$45="Menor"),CONCATENATE("R6C",'Mapa DIGSA'!$T$45),"")</f>
        <v/>
      </c>
      <c r="T11" s="51" t="str">
        <f>IF(AND('Mapa DIGSA'!$AD$46="Muy Alta",'Mapa DIGSA'!$AF$46="Menor"),CONCATENATE("R6C",'Mapa DIGSA'!$T$46),"")</f>
        <v/>
      </c>
      <c r="U11" s="47" t="str">
        <f>IF(AND('Mapa DIGSA'!$AD$47="Muy Alta",'Mapa DIGSA'!$AF$47="Menor"),CONCATENATE("R6C",'Mapa DIGSA'!$T$47),"")</f>
        <v/>
      </c>
      <c r="V11" s="45" t="str">
        <f>IF(AND('Mapa DIGSA'!$AD$42="Muy Alta",'Mapa DIGSA'!$AF$42="Moderado"),CONCATENATE("R6C",'Mapa DIGSA'!$T$42),"")</f>
        <v/>
      </c>
      <c r="W11" s="46" t="str">
        <f>IF(AND('Mapa DIGSA'!$AD$43="Muy Alta",'Mapa DIGSA'!$AF$43="Moderado"),CONCATENATE("R6C",'Mapa DIGSA'!$T$43),"")</f>
        <v/>
      </c>
      <c r="X11" s="51" t="str">
        <f>IF(AND('Mapa DIGSA'!$AD$44="Muy Alta",'Mapa DIGSA'!$AF$44="Moderado"),CONCATENATE("R6C",'Mapa DIGSA'!$T$44),"")</f>
        <v/>
      </c>
      <c r="Y11" s="51" t="str">
        <f>IF(AND('Mapa DIGSA'!$AD$45="Muy Alta",'Mapa DIGSA'!$AF$45="Moderado"),CONCATENATE("R6C",'Mapa DIGSA'!$T$45),"")</f>
        <v/>
      </c>
      <c r="Z11" s="51" t="str">
        <f>IF(AND('Mapa DIGSA'!$AD$46="Muy Alta",'Mapa DIGSA'!$AF$46="Moderado"),CONCATENATE("R6C",'Mapa DIGSA'!$T$46),"")</f>
        <v/>
      </c>
      <c r="AA11" s="47" t="str">
        <f>IF(AND('Mapa DIGSA'!$AD$47="Muy Alta",'Mapa DIGSA'!$AF$47="Moderado"),CONCATENATE("R6C",'Mapa DIGSA'!$T$47),"")</f>
        <v/>
      </c>
      <c r="AB11" s="45" t="str">
        <f>IF(AND('Mapa DIGSA'!$AD$42="Muy Alta",'Mapa DIGSA'!$AF$42="Mayor"),CONCATENATE("R6C",'Mapa DIGSA'!$T$42),"")</f>
        <v/>
      </c>
      <c r="AC11" s="46" t="str">
        <f>IF(AND('Mapa DIGSA'!$AD$43="Muy Alta",'Mapa DIGSA'!$AF$43="Mayor"),CONCATENATE("R6C",'Mapa DIGSA'!$T$43),"")</f>
        <v/>
      </c>
      <c r="AD11" s="51" t="str">
        <f>IF(AND('Mapa DIGSA'!$AD$44="Muy Alta",'Mapa DIGSA'!$AF$44="Mayor"),CONCATENATE("R6C",'Mapa DIGSA'!$T$44),"")</f>
        <v/>
      </c>
      <c r="AE11" s="51" t="str">
        <f>IF(AND('Mapa DIGSA'!$AD$45="Muy Alta",'Mapa DIGSA'!$AF$45="Mayor"),CONCATENATE("R6C",'Mapa DIGSA'!$T$45),"")</f>
        <v/>
      </c>
      <c r="AF11" s="51" t="str">
        <f>IF(AND('Mapa DIGSA'!$AD$46="Muy Alta",'Mapa DIGSA'!$AF$46="Mayor"),CONCATENATE("R6C",'Mapa DIGSA'!$T$46),"")</f>
        <v/>
      </c>
      <c r="AG11" s="47" t="str">
        <f>IF(AND('Mapa DIGSA'!$AD$47="Muy Alta",'Mapa DIGSA'!$AF$47="Mayor"),CONCATENATE("R6C",'Mapa DIGSA'!$T$47),"")</f>
        <v/>
      </c>
      <c r="AH11" s="48" t="str">
        <f>IF(AND('Mapa DIGSA'!$AD$42="Muy Alta",'Mapa DIGSA'!$AF$42="Catastrófico"),CONCATENATE("R6C",'Mapa DIGSA'!$T$42),"")</f>
        <v/>
      </c>
      <c r="AI11" s="49" t="str">
        <f>IF(AND('Mapa DIGSA'!$AD$43="Muy Alta",'Mapa DIGSA'!$AF$43="Catastrófico"),CONCATENATE("R6C",'Mapa DIGSA'!$T$43),"")</f>
        <v/>
      </c>
      <c r="AJ11" s="49" t="str">
        <f>IF(AND('Mapa DIGSA'!$AD$44="Muy Alta",'Mapa DIGSA'!$AF$44="Catastrófico"),CONCATENATE("R6C",'Mapa DIGSA'!$T$44),"")</f>
        <v/>
      </c>
      <c r="AK11" s="49" t="str">
        <f>IF(AND('Mapa DIGSA'!$AD$45="Muy Alta",'Mapa DIGSA'!$AF$45="Catastrófico"),CONCATENATE("R6C",'Mapa DIGSA'!$T$45),"")</f>
        <v/>
      </c>
      <c r="AL11" s="49" t="str">
        <f>IF(AND('Mapa DIGSA'!$AD$46="Muy Alta",'Mapa DIGSA'!$AF$46="Catastrófico"),CONCATENATE("R6C",'Mapa DIGSA'!$T$46),"")</f>
        <v/>
      </c>
      <c r="AM11" s="50" t="str">
        <f>IF(AND('Mapa DIGSA'!$AD$47="Muy Alta",'Mapa DIGSA'!$AF$47="Catastrófico"),CONCATENATE("R6C",'Mapa DIGSA'!$T$47),"")</f>
        <v/>
      </c>
      <c r="AN11" s="10"/>
      <c r="AO11" s="405"/>
      <c r="AP11" s="406"/>
      <c r="AQ11" s="406"/>
      <c r="AR11" s="406"/>
      <c r="AS11" s="406"/>
      <c r="AT11" s="407"/>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row>
    <row r="12" spans="1:91" ht="15" customHeight="1" x14ac:dyDescent="0.25">
      <c r="A12" s="10"/>
      <c r="B12" s="343"/>
      <c r="C12" s="343"/>
      <c r="D12" s="344"/>
      <c r="E12" s="384"/>
      <c r="F12" s="385"/>
      <c r="G12" s="385"/>
      <c r="H12" s="385"/>
      <c r="I12" s="386"/>
      <c r="J12" s="45" t="str">
        <f>IF(AND('Mapa DIGSA'!$AD$48="Muy Alta",'Mapa DIGSA'!$AF$48="Leve"),CONCATENATE("R7C",'Mapa DIGSA'!$T$48),"")</f>
        <v/>
      </c>
      <c r="K12" s="46" t="str">
        <f>IF(AND('Mapa DIGSA'!$AD$49="Muy Alta",'Mapa DIGSA'!$AF$49="Leve"),CONCATENATE("R7C",'Mapa DIGSA'!$T$49),"")</f>
        <v/>
      </c>
      <c r="L12" s="51" t="str">
        <f>IF(AND('Mapa DIGSA'!$AD$50="Muy Alta",'Mapa DIGSA'!$AF$50="Leve"),CONCATENATE("R7C",'Mapa DIGSA'!$T$50),"")</f>
        <v/>
      </c>
      <c r="M12" s="51" t="str">
        <f>IF(AND('Mapa DIGSA'!$AD$51="Muy Alta",'Mapa DIGSA'!$AF$51="Leve"),CONCATENATE("R7C",'Mapa DIGSA'!$T$51),"")</f>
        <v/>
      </c>
      <c r="N12" s="51" t="str">
        <f>IF(AND('Mapa DIGSA'!$AD$52="Muy Alta",'Mapa DIGSA'!$AF$52="Leve"),CONCATENATE("R7C",'Mapa DIGSA'!$T$52),"")</f>
        <v/>
      </c>
      <c r="O12" s="47" t="str">
        <f>IF(AND('Mapa DIGSA'!$AD$53="Muy Alta",'Mapa DIGSA'!$AF$53="Leve"),CONCATENATE("R7C",'Mapa DIGSA'!$T$53),"")</f>
        <v/>
      </c>
      <c r="P12" s="45" t="str">
        <f>IF(AND('Mapa DIGSA'!$AD$48="Muy Alta",'Mapa DIGSA'!$AF$48="Menor"),CONCATENATE("R7C",'Mapa DIGSA'!$T$48),"")</f>
        <v/>
      </c>
      <c r="Q12" s="46" t="str">
        <f>IF(AND('Mapa DIGSA'!$AD$49="Muy Alta",'Mapa DIGSA'!$AF$49="Menor"),CONCATENATE("R7C",'Mapa DIGSA'!$T$49),"")</f>
        <v/>
      </c>
      <c r="R12" s="51" t="str">
        <f>IF(AND('Mapa DIGSA'!$AD$50="Muy Alta",'Mapa DIGSA'!$AF$50="Menor"),CONCATENATE("R7C",'Mapa DIGSA'!$T$50),"")</f>
        <v/>
      </c>
      <c r="S12" s="51" t="str">
        <f>IF(AND('Mapa DIGSA'!$AD$51="Muy Alta",'Mapa DIGSA'!$AF$51="Menor"),CONCATENATE("R7C",'Mapa DIGSA'!$T$51),"")</f>
        <v/>
      </c>
      <c r="T12" s="51" t="str">
        <f>IF(AND('Mapa DIGSA'!$AD$52="Muy Alta",'Mapa DIGSA'!$AF$52="Menor"),CONCATENATE("R7C",'Mapa DIGSA'!$T$52),"")</f>
        <v/>
      </c>
      <c r="U12" s="47" t="str">
        <f>IF(AND('Mapa DIGSA'!$AD$53="Muy Alta",'Mapa DIGSA'!$AF$53="Menor"),CONCATENATE("R7C",'Mapa DIGSA'!$T$53),"")</f>
        <v/>
      </c>
      <c r="V12" s="45" t="str">
        <f>IF(AND('Mapa DIGSA'!$AD$48="Muy Alta",'Mapa DIGSA'!$AF$48="Moderado"),CONCATENATE("R7C",'Mapa DIGSA'!$T$48),"")</f>
        <v/>
      </c>
      <c r="W12" s="46" t="str">
        <f>IF(AND('Mapa DIGSA'!$AD$49="Muy Alta",'Mapa DIGSA'!$AF$49="Moderado"),CONCATENATE("R7C",'Mapa DIGSA'!$T$49),"")</f>
        <v/>
      </c>
      <c r="X12" s="51" t="str">
        <f>IF(AND('Mapa DIGSA'!$AD$50="Muy Alta",'Mapa DIGSA'!$AF$50="Moderado"),CONCATENATE("R7C",'Mapa DIGSA'!$T$50),"")</f>
        <v/>
      </c>
      <c r="Y12" s="51" t="str">
        <f>IF(AND('Mapa DIGSA'!$AD$51="Muy Alta",'Mapa DIGSA'!$AF$51="Moderado"),CONCATENATE("R7C",'Mapa DIGSA'!$T$51),"")</f>
        <v/>
      </c>
      <c r="Z12" s="51" t="str">
        <f>IF(AND('Mapa DIGSA'!$AD$52="Muy Alta",'Mapa DIGSA'!$AF$52="Moderado"),CONCATENATE("R7C",'Mapa DIGSA'!$T$52),"")</f>
        <v/>
      </c>
      <c r="AA12" s="47" t="str">
        <f>IF(AND('Mapa DIGSA'!$AD$53="Muy Alta",'Mapa DIGSA'!$AF$53="Moderado"),CONCATENATE("R7C",'Mapa DIGSA'!$T$53),"")</f>
        <v/>
      </c>
      <c r="AB12" s="45" t="str">
        <f>IF(AND('Mapa DIGSA'!$AD$48="Muy Alta",'Mapa DIGSA'!$AF$48="Mayor"),CONCATENATE("R7C",'Mapa DIGSA'!$T$48),"")</f>
        <v/>
      </c>
      <c r="AC12" s="46" t="str">
        <f>IF(AND('Mapa DIGSA'!$AD$49="Muy Alta",'Mapa DIGSA'!$AF$49="Mayor"),CONCATENATE("R7C",'Mapa DIGSA'!$T$49),"")</f>
        <v/>
      </c>
      <c r="AD12" s="51" t="str">
        <f>IF(AND('Mapa DIGSA'!$AD$50="Muy Alta",'Mapa DIGSA'!$AF$50="Mayor"),CONCATENATE("R7C",'Mapa DIGSA'!$T$50),"")</f>
        <v/>
      </c>
      <c r="AE12" s="51" t="str">
        <f>IF(AND('Mapa DIGSA'!$AD$51="Muy Alta",'Mapa DIGSA'!$AF$51="Mayor"),CONCATENATE("R7C",'Mapa DIGSA'!$T$51),"")</f>
        <v/>
      </c>
      <c r="AF12" s="51" t="str">
        <f>IF(AND('Mapa DIGSA'!$AD$52="Muy Alta",'Mapa DIGSA'!$AF$52="Mayor"),CONCATENATE("R7C",'Mapa DIGSA'!$T$52),"")</f>
        <v/>
      </c>
      <c r="AG12" s="47" t="str">
        <f>IF(AND('Mapa DIGSA'!$AD$53="Muy Alta",'Mapa DIGSA'!$AF$53="Mayor"),CONCATENATE("R7C",'Mapa DIGSA'!$T$53),"")</f>
        <v/>
      </c>
      <c r="AH12" s="48" t="str">
        <f>IF(AND('Mapa DIGSA'!$AD$48="Muy Alta",'Mapa DIGSA'!$AF$48="Catastrófico"),CONCATENATE("R7C",'Mapa DIGSA'!$T$48),"")</f>
        <v/>
      </c>
      <c r="AI12" s="49" t="str">
        <f>IF(AND('Mapa DIGSA'!$AD$49="Muy Alta",'Mapa DIGSA'!$AF$49="Catastrófico"),CONCATENATE("R7C",'Mapa DIGSA'!$T$49),"")</f>
        <v/>
      </c>
      <c r="AJ12" s="49" t="str">
        <f>IF(AND('Mapa DIGSA'!$AD$50="Muy Alta",'Mapa DIGSA'!$AF$50="Catastrófico"),CONCATENATE("R7C",'Mapa DIGSA'!$T$50),"")</f>
        <v/>
      </c>
      <c r="AK12" s="49" t="str">
        <f>IF(AND('Mapa DIGSA'!$AD$51="Muy Alta",'Mapa DIGSA'!$AF$51="Catastrófico"),CONCATENATE("R7C",'Mapa DIGSA'!$T$51),"")</f>
        <v/>
      </c>
      <c r="AL12" s="49" t="str">
        <f>IF(AND('Mapa DIGSA'!$AD$52="Muy Alta",'Mapa DIGSA'!$AF$52="Catastrófico"),CONCATENATE("R7C",'Mapa DIGSA'!$T$52),"")</f>
        <v/>
      </c>
      <c r="AM12" s="50" t="str">
        <f>IF(AND('Mapa DIGSA'!$AD$53="Muy Alta",'Mapa DIGSA'!$AF$53="Catastrófico"),CONCATENATE("R7C",'Mapa DIGSA'!$T$53),"")</f>
        <v/>
      </c>
      <c r="AN12" s="10"/>
      <c r="AO12" s="405"/>
      <c r="AP12" s="406"/>
      <c r="AQ12" s="406"/>
      <c r="AR12" s="406"/>
      <c r="AS12" s="406"/>
      <c r="AT12" s="407"/>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row>
    <row r="13" spans="1:91" ht="15" customHeight="1" x14ac:dyDescent="0.25">
      <c r="A13" s="10"/>
      <c r="B13" s="343"/>
      <c r="C13" s="343"/>
      <c r="D13" s="344"/>
      <c r="E13" s="384"/>
      <c r="F13" s="385"/>
      <c r="G13" s="385"/>
      <c r="H13" s="385"/>
      <c r="I13" s="386"/>
      <c r="J13" s="45" t="str">
        <f>IF(AND('Mapa DIGSA'!$AD$54="Muy Alta",'Mapa DIGSA'!$AF$54="Leve"),CONCATENATE("R8C",'Mapa DIGSA'!$T$54),"")</f>
        <v/>
      </c>
      <c r="K13" s="46" t="str">
        <f>IF(AND('Mapa DIGSA'!$AD$55="Muy Alta",'Mapa DIGSA'!$AF$55="Leve"),CONCATENATE("R8C",'Mapa DIGSA'!$T$55),"")</f>
        <v/>
      </c>
      <c r="L13" s="51" t="str">
        <f>IF(AND('Mapa DIGSA'!$AD$56="Muy Alta",'Mapa DIGSA'!$AF$56="Leve"),CONCATENATE("R8C",'Mapa DIGSA'!$T$56),"")</f>
        <v/>
      </c>
      <c r="M13" s="51" t="str">
        <f>IF(AND('Mapa DIGSA'!$AD$57="Muy Alta",'Mapa DIGSA'!$AF$57="Leve"),CONCATENATE("R8C",'Mapa DIGSA'!$T$57),"")</f>
        <v/>
      </c>
      <c r="N13" s="51" t="str">
        <f>IF(AND('Mapa DIGSA'!$AD$58="Muy Alta",'Mapa DIGSA'!$AF$58="Leve"),CONCATENATE("R8C",'Mapa DIGSA'!$T$58),"")</f>
        <v/>
      </c>
      <c r="O13" s="47" t="str">
        <f>IF(AND('Mapa DIGSA'!$AD$59="Muy Alta",'Mapa DIGSA'!$AF$59="Leve"),CONCATENATE("R8C",'Mapa DIGSA'!$T$59),"")</f>
        <v/>
      </c>
      <c r="P13" s="45" t="str">
        <f>IF(AND('Mapa DIGSA'!$AD$54="Muy Alta",'Mapa DIGSA'!$AF$54="Menor"),CONCATENATE("R8C",'Mapa DIGSA'!$T$54),"")</f>
        <v/>
      </c>
      <c r="Q13" s="46" t="str">
        <f>IF(AND('Mapa DIGSA'!$AD$55="Muy Alta",'Mapa DIGSA'!$AF$55="Menor"),CONCATENATE("R8C",'Mapa DIGSA'!$T$55),"")</f>
        <v/>
      </c>
      <c r="R13" s="51" t="str">
        <f>IF(AND('Mapa DIGSA'!$AD$56="Muy Alta",'Mapa DIGSA'!$AF$56="Menor"),CONCATENATE("R8C",'Mapa DIGSA'!$T$56),"")</f>
        <v/>
      </c>
      <c r="S13" s="51" t="str">
        <f>IF(AND('Mapa DIGSA'!$AD$57="Muy Alta",'Mapa DIGSA'!$AF$57="Menor"),CONCATENATE("R8C",'Mapa DIGSA'!$T$57),"")</f>
        <v/>
      </c>
      <c r="T13" s="51" t="str">
        <f>IF(AND('Mapa DIGSA'!$AD$58="Muy Alta",'Mapa DIGSA'!$AF$58="Menor"),CONCATENATE("R8C",'Mapa DIGSA'!$T$58),"")</f>
        <v/>
      </c>
      <c r="U13" s="47" t="str">
        <f>IF(AND('Mapa DIGSA'!$AD$59="Muy Alta",'Mapa DIGSA'!$AF$59="Menor"),CONCATENATE("R8C",'Mapa DIGSA'!$T$59),"")</f>
        <v/>
      </c>
      <c r="V13" s="45" t="str">
        <f>IF(AND('Mapa DIGSA'!$AD$54="Muy Alta",'Mapa DIGSA'!$AF$54="Moderado"),CONCATENATE("R8C",'Mapa DIGSA'!$T$54),"")</f>
        <v/>
      </c>
      <c r="W13" s="46" t="str">
        <f>IF(AND('Mapa DIGSA'!$AD$55="Muy Alta",'Mapa DIGSA'!$AF$55="Moderado"),CONCATENATE("R8C",'Mapa DIGSA'!$T$55),"")</f>
        <v/>
      </c>
      <c r="X13" s="51" t="str">
        <f>IF(AND('Mapa DIGSA'!$AD$56="Muy Alta",'Mapa DIGSA'!$AF$56="Moderado"),CONCATENATE("R8C",'Mapa DIGSA'!$T$56),"")</f>
        <v/>
      </c>
      <c r="Y13" s="51" t="str">
        <f>IF(AND('Mapa DIGSA'!$AD$57="Muy Alta",'Mapa DIGSA'!$AF$57="Moderado"),CONCATENATE("R8C",'Mapa DIGSA'!$T$57),"")</f>
        <v/>
      </c>
      <c r="Z13" s="51" t="str">
        <f>IF(AND('Mapa DIGSA'!$AD$58="Muy Alta",'Mapa DIGSA'!$AF$58="Moderado"),CONCATENATE("R8C",'Mapa DIGSA'!$T$58),"")</f>
        <v/>
      </c>
      <c r="AA13" s="47" t="str">
        <f>IF(AND('Mapa DIGSA'!$AD$59="Muy Alta",'Mapa DIGSA'!$AF$59="Moderado"),CONCATENATE("R8C",'Mapa DIGSA'!$T$59),"")</f>
        <v/>
      </c>
      <c r="AB13" s="45" t="str">
        <f>IF(AND('Mapa DIGSA'!$AD$54="Muy Alta",'Mapa DIGSA'!$AF$54="Mayor"),CONCATENATE("R8C",'Mapa DIGSA'!$T$54),"")</f>
        <v/>
      </c>
      <c r="AC13" s="46" t="str">
        <f>IF(AND('Mapa DIGSA'!$AD$55="Muy Alta",'Mapa DIGSA'!$AF$55="Mayor"),CONCATENATE("R8C",'Mapa DIGSA'!$T$55),"")</f>
        <v/>
      </c>
      <c r="AD13" s="51" t="str">
        <f>IF(AND('Mapa DIGSA'!$AD$56="Muy Alta",'Mapa DIGSA'!$AF$56="Mayor"),CONCATENATE("R8C",'Mapa DIGSA'!$T$56),"")</f>
        <v/>
      </c>
      <c r="AE13" s="51" t="str">
        <f>IF(AND('Mapa DIGSA'!$AD$57="Muy Alta",'Mapa DIGSA'!$AF$57="Mayor"),CONCATENATE("R8C",'Mapa DIGSA'!$T$57),"")</f>
        <v/>
      </c>
      <c r="AF13" s="51" t="str">
        <f>IF(AND('Mapa DIGSA'!$AD$58="Muy Alta",'Mapa DIGSA'!$AF$58="Mayor"),CONCATENATE("R8C",'Mapa DIGSA'!$T$58),"")</f>
        <v/>
      </c>
      <c r="AG13" s="47" t="str">
        <f>IF(AND('Mapa DIGSA'!$AD$59="Muy Alta",'Mapa DIGSA'!$AF$59="Mayor"),CONCATENATE("R8C",'Mapa DIGSA'!$T$59),"")</f>
        <v/>
      </c>
      <c r="AH13" s="48" t="str">
        <f>IF(AND('Mapa DIGSA'!$AD$54="Muy Alta",'Mapa DIGSA'!$AF$54="Catastrófico"),CONCATENATE("R8C",'Mapa DIGSA'!$T$54),"")</f>
        <v/>
      </c>
      <c r="AI13" s="49" t="str">
        <f>IF(AND('Mapa DIGSA'!$AD$55="Muy Alta",'Mapa DIGSA'!$AF$55="Catastrófico"),CONCATENATE("R8C",'Mapa DIGSA'!$T$55),"")</f>
        <v/>
      </c>
      <c r="AJ13" s="49" t="str">
        <f>IF(AND('Mapa DIGSA'!$AD$56="Muy Alta",'Mapa DIGSA'!$AF$56="Catastrófico"),CONCATENATE("R8C",'Mapa DIGSA'!$T$56),"")</f>
        <v/>
      </c>
      <c r="AK13" s="49" t="str">
        <f>IF(AND('Mapa DIGSA'!$AD$57="Muy Alta",'Mapa DIGSA'!$AF$57="Catastrófico"),CONCATENATE("R8C",'Mapa DIGSA'!$T$57),"")</f>
        <v/>
      </c>
      <c r="AL13" s="49" t="str">
        <f>IF(AND('Mapa DIGSA'!$AD$58="Muy Alta",'Mapa DIGSA'!$AF$58="Catastrófico"),CONCATENATE("R8C",'Mapa DIGSA'!$T$58),"")</f>
        <v/>
      </c>
      <c r="AM13" s="50" t="str">
        <f>IF(AND('Mapa DIGSA'!$AD$59="Muy Alta",'Mapa DIGSA'!$AF$59="Catastrófico"),CONCATENATE("R8C",'Mapa DIGSA'!$T$59),"")</f>
        <v/>
      </c>
      <c r="AN13" s="10"/>
      <c r="AO13" s="405"/>
      <c r="AP13" s="406"/>
      <c r="AQ13" s="406"/>
      <c r="AR13" s="406"/>
      <c r="AS13" s="406"/>
      <c r="AT13" s="407"/>
      <c r="AU13" s="10"/>
      <c r="AV13" s="10"/>
      <c r="AW13" s="10"/>
      <c r="AX13" s="10"/>
      <c r="AY13" s="10"/>
      <c r="AZ13" s="10"/>
      <c r="BA13" s="10"/>
      <c r="BB13" s="10"/>
      <c r="BC13" s="10"/>
      <c r="BD13" s="10"/>
      <c r="BE13" s="10"/>
      <c r="BF13" s="10"/>
      <c r="BG13" s="10"/>
      <c r="BH13" s="10"/>
      <c r="BI13" s="10"/>
      <c r="BJ13" s="10"/>
      <c r="BK13" s="10"/>
      <c r="BL13" s="10"/>
      <c r="BM13" s="10"/>
      <c r="BN13" s="10"/>
      <c r="BO13" s="10"/>
      <c r="BP13" s="10"/>
      <c r="BQ13" s="10"/>
      <c r="BR13" s="10"/>
      <c r="BS13" s="10"/>
      <c r="BT13" s="10"/>
      <c r="BU13" s="10"/>
      <c r="BV13" s="10"/>
      <c r="BW13" s="10"/>
      <c r="BX13" s="10"/>
    </row>
    <row r="14" spans="1:91" ht="15" customHeight="1" x14ac:dyDescent="0.25">
      <c r="A14" s="10"/>
      <c r="B14" s="343"/>
      <c r="C14" s="343"/>
      <c r="D14" s="344"/>
      <c r="E14" s="384"/>
      <c r="F14" s="385"/>
      <c r="G14" s="385"/>
      <c r="H14" s="385"/>
      <c r="I14" s="386"/>
      <c r="J14" s="45" t="str">
        <f>IF(AND('Mapa DIGSA'!$AD$60="Muy Alta",'Mapa DIGSA'!$AF$60="Leve"),CONCATENATE("R9C",'Mapa DIGSA'!$T$60),"")</f>
        <v/>
      </c>
      <c r="K14" s="46" t="str">
        <f>IF(AND('Mapa DIGSA'!$AD$61="Muy Alta",'Mapa DIGSA'!$AF$61="Leve"),CONCATENATE("R9C",'Mapa DIGSA'!$T$61),"")</f>
        <v/>
      </c>
      <c r="L14" s="51" t="str">
        <f>IF(AND('Mapa DIGSA'!$AD$62="Muy Alta",'Mapa DIGSA'!$AF$62="Leve"),CONCATENATE("R9C",'Mapa DIGSA'!$T$62),"")</f>
        <v/>
      </c>
      <c r="M14" s="51" t="str">
        <f>IF(AND('Mapa DIGSA'!$AD$63="Muy Alta",'Mapa DIGSA'!$AF$63="Leve"),CONCATENATE("R9C",'Mapa DIGSA'!$T$63),"")</f>
        <v/>
      </c>
      <c r="N14" s="51" t="str">
        <f>IF(AND('Mapa DIGSA'!$AD$64="Muy Alta",'Mapa DIGSA'!$AF$64="Leve"),CONCATENATE("R9C",'Mapa DIGSA'!$T$64),"")</f>
        <v/>
      </c>
      <c r="O14" s="47" t="str">
        <f>IF(AND('Mapa DIGSA'!$AD$65="Muy Alta",'Mapa DIGSA'!$AF$65="Leve"),CONCATENATE("R9C",'Mapa DIGSA'!$T$65),"")</f>
        <v/>
      </c>
      <c r="P14" s="45" t="str">
        <f>IF(AND('Mapa DIGSA'!$AD$60="Muy Alta",'Mapa DIGSA'!$AF$60="Menor"),CONCATENATE("R9C",'Mapa DIGSA'!$T$60),"")</f>
        <v/>
      </c>
      <c r="Q14" s="46" t="str">
        <f>IF(AND('Mapa DIGSA'!$AD$61="Muy Alta",'Mapa DIGSA'!$AF$61="Menor"),CONCATENATE("R9C",'Mapa DIGSA'!$T$61),"")</f>
        <v/>
      </c>
      <c r="R14" s="51" t="str">
        <f>IF(AND('Mapa DIGSA'!$AD$62="Muy Alta",'Mapa DIGSA'!$AF$62="Menor"),CONCATENATE("R9C",'Mapa DIGSA'!$T$62),"")</f>
        <v/>
      </c>
      <c r="S14" s="51" t="str">
        <f>IF(AND('Mapa DIGSA'!$AD$63="Muy Alta",'Mapa DIGSA'!$AF$63="Menor"),CONCATENATE("R9C",'Mapa DIGSA'!$T$63),"")</f>
        <v/>
      </c>
      <c r="T14" s="51" t="str">
        <f>IF(AND('Mapa DIGSA'!$AD$64="Muy Alta",'Mapa DIGSA'!$AF$64="Menor"),CONCATENATE("R9C",'Mapa DIGSA'!$T$64),"")</f>
        <v/>
      </c>
      <c r="U14" s="47" t="str">
        <f>IF(AND('Mapa DIGSA'!$AD$65="Muy Alta",'Mapa DIGSA'!$AF$65="Menor"),CONCATENATE("R9C",'Mapa DIGSA'!$T$65),"")</f>
        <v/>
      </c>
      <c r="V14" s="45" t="str">
        <f>IF(AND('Mapa DIGSA'!$AD$60="Muy Alta",'Mapa DIGSA'!$AF$60="Moderado"),CONCATENATE("R9C",'Mapa DIGSA'!$T$60),"")</f>
        <v/>
      </c>
      <c r="W14" s="46" t="str">
        <f>IF(AND('Mapa DIGSA'!$AD$61="Muy Alta",'Mapa DIGSA'!$AF$61="Moderado"),CONCATENATE("R9C",'Mapa DIGSA'!$T$61),"")</f>
        <v/>
      </c>
      <c r="X14" s="51" t="str">
        <f>IF(AND('Mapa DIGSA'!$AD$62="Muy Alta",'Mapa DIGSA'!$AF$62="Moderado"),CONCATENATE("R9C",'Mapa DIGSA'!$T$62),"")</f>
        <v/>
      </c>
      <c r="Y14" s="51" t="str">
        <f>IF(AND('Mapa DIGSA'!$AD$63="Muy Alta",'Mapa DIGSA'!$AF$63="Moderado"),CONCATENATE("R9C",'Mapa DIGSA'!$T$63),"")</f>
        <v/>
      </c>
      <c r="Z14" s="51" t="str">
        <f>IF(AND('Mapa DIGSA'!$AD$64="Muy Alta",'Mapa DIGSA'!$AF$64="Moderado"),CONCATENATE("R9C",'Mapa DIGSA'!$T$64),"")</f>
        <v/>
      </c>
      <c r="AA14" s="47" t="str">
        <f>IF(AND('Mapa DIGSA'!$AD$65="Muy Alta",'Mapa DIGSA'!$AF$65="Moderado"),CONCATENATE("R9C",'Mapa DIGSA'!$T$65),"")</f>
        <v/>
      </c>
      <c r="AB14" s="45" t="str">
        <f>IF(AND('Mapa DIGSA'!$AD$60="Muy Alta",'Mapa DIGSA'!$AF$60="Mayor"),CONCATENATE("R9C",'Mapa DIGSA'!$T$60),"")</f>
        <v/>
      </c>
      <c r="AC14" s="46" t="str">
        <f>IF(AND('Mapa DIGSA'!$AD$61="Muy Alta",'Mapa DIGSA'!$AF$61="Mayor"),CONCATENATE("R9C",'Mapa DIGSA'!$T$61),"")</f>
        <v/>
      </c>
      <c r="AD14" s="51" t="str">
        <f>IF(AND('Mapa DIGSA'!$AD$62="Muy Alta",'Mapa DIGSA'!$AF$62="Mayor"),CONCATENATE("R9C",'Mapa DIGSA'!$T$62),"")</f>
        <v/>
      </c>
      <c r="AE14" s="51" t="str">
        <f>IF(AND('Mapa DIGSA'!$AD$63="Muy Alta",'Mapa DIGSA'!$AF$63="Mayor"),CONCATENATE("R9C",'Mapa DIGSA'!$T$63),"")</f>
        <v/>
      </c>
      <c r="AF14" s="51" t="str">
        <f>IF(AND('Mapa DIGSA'!$AD$64="Muy Alta",'Mapa DIGSA'!$AF$64="Mayor"),CONCATENATE("R9C",'Mapa DIGSA'!$T$64),"")</f>
        <v/>
      </c>
      <c r="AG14" s="47" t="str">
        <f>IF(AND('Mapa DIGSA'!$AD$65="Muy Alta",'Mapa DIGSA'!$AF$65="Mayor"),CONCATENATE("R9C",'Mapa DIGSA'!$T$65),"")</f>
        <v/>
      </c>
      <c r="AH14" s="48" t="str">
        <f>IF(AND('Mapa DIGSA'!$AD$60="Muy Alta",'Mapa DIGSA'!$AF$60="Catastrófico"),CONCATENATE("R9C",'Mapa DIGSA'!$T$60),"")</f>
        <v/>
      </c>
      <c r="AI14" s="49" t="str">
        <f>IF(AND('Mapa DIGSA'!$AD$61="Muy Alta",'Mapa DIGSA'!$AF$61="Catastrófico"),CONCATENATE("R9C",'Mapa DIGSA'!$T$61),"")</f>
        <v/>
      </c>
      <c r="AJ14" s="49" t="str">
        <f>IF(AND('Mapa DIGSA'!$AD$62="Muy Alta",'Mapa DIGSA'!$AF$62="Catastrófico"),CONCATENATE("R9C",'Mapa DIGSA'!$T$62),"")</f>
        <v/>
      </c>
      <c r="AK14" s="49" t="str">
        <f>IF(AND('Mapa DIGSA'!$AD$63="Muy Alta",'Mapa DIGSA'!$AF$63="Catastrófico"),CONCATENATE("R9C",'Mapa DIGSA'!$T$63),"")</f>
        <v/>
      </c>
      <c r="AL14" s="49" t="str">
        <f>IF(AND('Mapa DIGSA'!$AD$64="Muy Alta",'Mapa DIGSA'!$AF$64="Catastrófico"),CONCATENATE("R9C",'Mapa DIGSA'!$T$64),"")</f>
        <v/>
      </c>
      <c r="AM14" s="50" t="str">
        <f>IF(AND('Mapa DIGSA'!$AD$65="Muy Alta",'Mapa DIGSA'!$AF$65="Catastrófico"),CONCATENATE("R9C",'Mapa DIGSA'!$T$65),"")</f>
        <v/>
      </c>
      <c r="AN14" s="10"/>
      <c r="AO14" s="405"/>
      <c r="AP14" s="406"/>
      <c r="AQ14" s="406"/>
      <c r="AR14" s="406"/>
      <c r="AS14" s="406"/>
      <c r="AT14" s="407"/>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row>
    <row r="15" spans="1:91" ht="15.75" customHeight="1" thickBot="1" x14ac:dyDescent="0.3">
      <c r="A15" s="10"/>
      <c r="B15" s="343"/>
      <c r="C15" s="343"/>
      <c r="D15" s="344"/>
      <c r="E15" s="387"/>
      <c r="F15" s="388"/>
      <c r="G15" s="388"/>
      <c r="H15" s="388"/>
      <c r="I15" s="389"/>
      <c r="J15" s="52" t="str">
        <f>IF(AND('Mapa DIGSA'!$AD$66="Muy Alta",'Mapa DIGSA'!$AF$66="Leve"),CONCATENATE("R10C",'Mapa DIGSA'!$T$66),"")</f>
        <v/>
      </c>
      <c r="K15" s="53" t="str">
        <f>IF(AND('Mapa DIGSA'!$AD$67="Muy Alta",'Mapa DIGSA'!$AF$67="Leve"),CONCATENATE("R10C",'Mapa DIGSA'!$T$67),"")</f>
        <v/>
      </c>
      <c r="L15" s="53" t="str">
        <f>IF(AND('Mapa DIGSA'!$AD$68="Muy Alta",'Mapa DIGSA'!$AF$68="Leve"),CONCATENATE("R10C",'Mapa DIGSA'!$T$68),"")</f>
        <v/>
      </c>
      <c r="M15" s="53" t="str">
        <f>IF(AND('Mapa DIGSA'!$AD$69="Muy Alta",'Mapa DIGSA'!$AF$69="Leve"),CONCATENATE("R10C",'Mapa DIGSA'!$T$69),"")</f>
        <v/>
      </c>
      <c r="N15" s="53" t="str">
        <f>IF(AND('Mapa DIGSA'!$AD$70="Muy Alta",'Mapa DIGSA'!$AF$70="Leve"),CONCATENATE("R10C",'Mapa DIGSA'!$T$70),"")</f>
        <v/>
      </c>
      <c r="O15" s="54" t="e">
        <f>IF(AND('Mapa DIGSA'!#REF!="Muy Alta",'Mapa DIGSA'!#REF!="Leve"),CONCATENATE("R10C",'Mapa DIGSA'!#REF!),"")</f>
        <v>#REF!</v>
      </c>
      <c r="P15" s="45" t="str">
        <f>IF(AND('Mapa DIGSA'!$AD$66="Muy Alta",'Mapa DIGSA'!$AF$66="Menor"),CONCATENATE("R10C",'Mapa DIGSA'!$T$66),"")</f>
        <v/>
      </c>
      <c r="Q15" s="46" t="str">
        <f>IF(AND('Mapa DIGSA'!$AD$67="Muy Alta",'Mapa DIGSA'!$AF$67="Menor"),CONCATENATE("R10C",'Mapa DIGSA'!$T$67),"")</f>
        <v/>
      </c>
      <c r="R15" s="46" t="str">
        <f>IF(AND('Mapa DIGSA'!$AD$68="Muy Alta",'Mapa DIGSA'!$AF$68="Menor"),CONCATENATE("R10C",'Mapa DIGSA'!$T$68),"")</f>
        <v/>
      </c>
      <c r="S15" s="46" t="str">
        <f>IF(AND('Mapa DIGSA'!$AD$69="Muy Alta",'Mapa DIGSA'!$AF$69="Menor"),CONCATENATE("R10C",'Mapa DIGSA'!$T$69),"")</f>
        <v/>
      </c>
      <c r="T15" s="46" t="str">
        <f>IF(AND('Mapa DIGSA'!$AD$70="Muy Alta",'Mapa DIGSA'!$AF$70="Menor"),CONCATENATE("R10C",'Mapa DIGSA'!$T$70),"")</f>
        <v/>
      </c>
      <c r="U15" s="47" t="e">
        <f>IF(AND('Mapa DIGSA'!#REF!="Muy Alta",'Mapa DIGSA'!#REF!="Menor"),CONCATENATE("R10C",'Mapa DIGSA'!#REF!),"")</f>
        <v>#REF!</v>
      </c>
      <c r="V15" s="52" t="str">
        <f>IF(AND('Mapa DIGSA'!$AD$66="Muy Alta",'Mapa DIGSA'!$AF$66="Moderado"),CONCATENATE("R10C",'Mapa DIGSA'!$T$66),"")</f>
        <v/>
      </c>
      <c r="W15" s="53" t="str">
        <f>IF(AND('Mapa DIGSA'!$AD$67="Muy Alta",'Mapa DIGSA'!$AF$67="Moderado"),CONCATENATE("R10C",'Mapa DIGSA'!$T$67),"")</f>
        <v/>
      </c>
      <c r="X15" s="53" t="str">
        <f>IF(AND('Mapa DIGSA'!$AD$68="Muy Alta",'Mapa DIGSA'!$AF$68="Moderado"),CONCATENATE("R10C",'Mapa DIGSA'!$T$68),"")</f>
        <v/>
      </c>
      <c r="Y15" s="53" t="str">
        <f>IF(AND('Mapa DIGSA'!$AD$69="Muy Alta",'Mapa DIGSA'!$AF$69="Moderado"),CONCATENATE("R10C",'Mapa DIGSA'!$T$69),"")</f>
        <v/>
      </c>
      <c r="Z15" s="53" t="str">
        <f>IF(AND('Mapa DIGSA'!$AD$70="Muy Alta",'Mapa DIGSA'!$AF$70="Moderado"),CONCATENATE("R10C",'Mapa DIGSA'!$T$70),"")</f>
        <v/>
      </c>
      <c r="AA15" s="54" t="e">
        <f>IF(AND('Mapa DIGSA'!#REF!="Muy Alta",'Mapa DIGSA'!#REF!="Moderado"),CONCATENATE("R10C",'Mapa DIGSA'!#REF!),"")</f>
        <v>#REF!</v>
      </c>
      <c r="AB15" s="45" t="str">
        <f>IF(AND('Mapa DIGSA'!$AD$66="Muy Alta",'Mapa DIGSA'!$AF$66="Mayor"),CONCATENATE("R10C",'Mapa DIGSA'!$T$66),"")</f>
        <v/>
      </c>
      <c r="AC15" s="46" t="str">
        <f>IF(AND('Mapa DIGSA'!$AD$67="Muy Alta",'Mapa DIGSA'!$AF$67="Mayor"),CONCATENATE("R10C",'Mapa DIGSA'!$T$67),"")</f>
        <v/>
      </c>
      <c r="AD15" s="46" t="str">
        <f>IF(AND('Mapa DIGSA'!$AD$68="Muy Alta",'Mapa DIGSA'!$AF$68="Mayor"),CONCATENATE("R10C",'Mapa DIGSA'!$T$68),"")</f>
        <v/>
      </c>
      <c r="AE15" s="46" t="str">
        <f>IF(AND('Mapa DIGSA'!$AD$69="Muy Alta",'Mapa DIGSA'!$AF$69="Mayor"),CONCATENATE("R10C",'Mapa DIGSA'!$T$69),"")</f>
        <v/>
      </c>
      <c r="AF15" s="46" t="str">
        <f>IF(AND('Mapa DIGSA'!$AD$70="Muy Alta",'Mapa DIGSA'!$AF$70="Mayor"),CONCATENATE("R10C",'Mapa DIGSA'!$T$70),"")</f>
        <v/>
      </c>
      <c r="AG15" s="47" t="e">
        <f>IF(AND('Mapa DIGSA'!#REF!="Muy Alta",'Mapa DIGSA'!#REF!="Mayor"),CONCATENATE("R10C",'Mapa DIGSA'!#REF!),"")</f>
        <v>#REF!</v>
      </c>
      <c r="AH15" s="55" t="str">
        <f>IF(AND('Mapa DIGSA'!$AD$66="Muy Alta",'Mapa DIGSA'!$AF$66="Catastrófico"),CONCATENATE("R10C",'Mapa DIGSA'!$T$66),"")</f>
        <v/>
      </c>
      <c r="AI15" s="56" t="str">
        <f>IF(AND('Mapa DIGSA'!$AD$67="Muy Alta",'Mapa DIGSA'!$AF$67="Catastrófico"),CONCATENATE("R10C",'Mapa DIGSA'!$T$67),"")</f>
        <v/>
      </c>
      <c r="AJ15" s="56" t="str">
        <f>IF(AND('Mapa DIGSA'!$AD$68="Muy Alta",'Mapa DIGSA'!$AF$68="Catastrófico"),CONCATENATE("R10C",'Mapa DIGSA'!$T$68),"")</f>
        <v/>
      </c>
      <c r="AK15" s="56" t="str">
        <f>IF(AND('Mapa DIGSA'!$AD$69="Muy Alta",'Mapa DIGSA'!$AF$69="Catastrófico"),CONCATENATE("R10C",'Mapa DIGSA'!$T$69),"")</f>
        <v/>
      </c>
      <c r="AL15" s="56" t="str">
        <f>IF(AND('Mapa DIGSA'!$AD$70="Muy Alta",'Mapa DIGSA'!$AF$70="Catastrófico"),CONCATENATE("R10C",'Mapa DIGSA'!$T$70),"")</f>
        <v/>
      </c>
      <c r="AM15" s="57" t="e">
        <f>IF(AND('Mapa DIGSA'!#REF!="Muy Alta",'Mapa DIGSA'!#REF!="Catastrófico"),CONCATENATE("R10C",'Mapa DIGSA'!#REF!),"")</f>
        <v>#REF!</v>
      </c>
      <c r="AN15" s="10"/>
      <c r="AO15" s="408"/>
      <c r="AP15" s="409"/>
      <c r="AQ15" s="409"/>
      <c r="AR15" s="409"/>
      <c r="AS15" s="409"/>
      <c r="AT15" s="4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row>
    <row r="16" spans="1:91" ht="15" customHeight="1" x14ac:dyDescent="0.25">
      <c r="A16" s="10"/>
      <c r="B16" s="343"/>
      <c r="C16" s="343"/>
      <c r="D16" s="344"/>
      <c r="E16" s="381" t="s">
        <v>108</v>
      </c>
      <c r="F16" s="382"/>
      <c r="G16" s="382"/>
      <c r="H16" s="382"/>
      <c r="I16" s="382"/>
      <c r="J16" s="58" t="str">
        <f>IF(AND('Mapa DIGSA'!$AD$12="Alta",'Mapa DIGSA'!$AF$12="Leve"),CONCATENATE("R1C",'Mapa DIGSA'!$T$12),"")</f>
        <v/>
      </c>
      <c r="K16" s="59" t="str">
        <f>IF(AND('Mapa DIGSA'!$AD$13="Alta",'Mapa DIGSA'!$AF$13="Leve"),CONCATENATE("R1C",'Mapa DIGSA'!$T$13),"")</f>
        <v/>
      </c>
      <c r="L16" s="59" t="str">
        <f>IF(AND('Mapa DIGSA'!$AD$14="Alta",'Mapa DIGSA'!$AF$14="Leve"),CONCATENATE("R1C",'Mapa DIGSA'!$T$14),"")</f>
        <v/>
      </c>
      <c r="M16" s="59" t="str">
        <f>IF(AND('Mapa DIGSA'!$AD$15="Alta",'Mapa DIGSA'!$AF$15="Leve"),CONCATENATE("R1C",'Mapa DIGSA'!$T$15),"")</f>
        <v/>
      </c>
      <c r="N16" s="59" t="str">
        <f>IF(AND('Mapa DIGSA'!$AD$16="Alta",'Mapa DIGSA'!$AF$16="Leve"),CONCATENATE("R1C",'Mapa DIGSA'!$T$16),"")</f>
        <v/>
      </c>
      <c r="O16" s="60" t="str">
        <f>IF(AND('Mapa DIGSA'!$AD$17="Alta",'Mapa DIGSA'!$AF$17="Leve"),CONCATENATE("R1C",'Mapa DIGSA'!$T$17),"")</f>
        <v/>
      </c>
      <c r="P16" s="58" t="str">
        <f>IF(AND('Mapa DIGSA'!$AD$12="Alta",'Mapa DIGSA'!$AF$12="Menor"),CONCATENATE("R1C",'Mapa DIGSA'!$T$12),"")</f>
        <v/>
      </c>
      <c r="Q16" s="59" t="str">
        <f>IF(AND('Mapa DIGSA'!$AD$13="Alta",'Mapa DIGSA'!$AF$13="Menor"),CONCATENATE("R1C",'Mapa DIGSA'!$T$13),"")</f>
        <v/>
      </c>
      <c r="R16" s="59" t="str">
        <f>IF(AND('Mapa DIGSA'!$AD$14="Alta",'Mapa DIGSA'!$AF$14="Menor"),CONCATENATE("R1C",'Mapa DIGSA'!$T$14),"")</f>
        <v/>
      </c>
      <c r="S16" s="59" t="str">
        <f>IF(AND('Mapa DIGSA'!$AD$15="Alta",'Mapa DIGSA'!$AF$15="Menor"),CONCATENATE("R1C",'Mapa DIGSA'!$T$15),"")</f>
        <v/>
      </c>
      <c r="T16" s="59" t="str">
        <f>IF(AND('Mapa DIGSA'!$AD$16="Alta",'Mapa DIGSA'!$AF$16="Menor"),CONCATENATE("R1C",'Mapa DIGSA'!$T$16),"")</f>
        <v/>
      </c>
      <c r="U16" s="60" t="str">
        <f>IF(AND('Mapa DIGSA'!$AD$17="Alta",'Mapa DIGSA'!$AF$17="Menor"),CONCATENATE("R1C",'Mapa DIGSA'!$T$17),"")</f>
        <v/>
      </c>
      <c r="V16" s="39" t="str">
        <f>IF(AND('Mapa DIGSA'!$AD$12="Alta",'Mapa DIGSA'!$AF$12="Moderado"),CONCATENATE("R1C",'Mapa DIGSA'!$T$12),"")</f>
        <v/>
      </c>
      <c r="W16" s="40" t="str">
        <f>IF(AND('Mapa DIGSA'!$AD$13="Alta",'Mapa DIGSA'!$AF$13="Moderado"),CONCATENATE("R1C",'Mapa DIGSA'!$T$13),"")</f>
        <v/>
      </c>
      <c r="X16" s="40" t="str">
        <f>IF(AND('Mapa DIGSA'!$AD$14="Alta",'Mapa DIGSA'!$AF$14="Moderado"),CONCATENATE("R1C",'Mapa DIGSA'!$T$14),"")</f>
        <v/>
      </c>
      <c r="Y16" s="40" t="str">
        <f>IF(AND('Mapa DIGSA'!$AD$15="Alta",'Mapa DIGSA'!$AF$15="Moderado"),CONCATENATE("R1C",'Mapa DIGSA'!$T$15),"")</f>
        <v/>
      </c>
      <c r="Z16" s="40" t="str">
        <f>IF(AND('Mapa DIGSA'!$AD$16="Alta",'Mapa DIGSA'!$AF$16="Moderado"),CONCATENATE("R1C",'Mapa DIGSA'!$T$16),"")</f>
        <v/>
      </c>
      <c r="AA16" s="41" t="str">
        <f>IF(AND('Mapa DIGSA'!$AD$17="Alta",'Mapa DIGSA'!$AF$17="Moderado"),CONCATENATE("R1C",'Mapa DIGSA'!$T$17),"")</f>
        <v/>
      </c>
      <c r="AB16" s="39" t="str">
        <f>IF(AND('Mapa DIGSA'!$AD$12="Alta",'Mapa DIGSA'!$AF$12="Mayor"),CONCATENATE("R1C",'Mapa DIGSA'!$T$12),"")</f>
        <v/>
      </c>
      <c r="AC16" s="40" t="str">
        <f>IF(AND('Mapa DIGSA'!$AD$13="Alta",'Mapa DIGSA'!$AF$13="Mayor"),CONCATENATE("R1C",'Mapa DIGSA'!$T$13),"")</f>
        <v/>
      </c>
      <c r="AD16" s="40" t="str">
        <f>IF(AND('Mapa DIGSA'!$AD$14="Alta",'Mapa DIGSA'!$AF$14="Mayor"),CONCATENATE("R1C",'Mapa DIGSA'!$T$14),"")</f>
        <v/>
      </c>
      <c r="AE16" s="40" t="str">
        <f>IF(AND('Mapa DIGSA'!$AD$15="Alta",'Mapa DIGSA'!$AF$15="Mayor"),CONCATENATE("R1C",'Mapa DIGSA'!$T$15),"")</f>
        <v/>
      </c>
      <c r="AF16" s="40" t="str">
        <f>IF(AND('Mapa DIGSA'!$AD$16="Alta",'Mapa DIGSA'!$AF$16="Mayor"),CONCATENATE("R1C",'Mapa DIGSA'!$T$16),"")</f>
        <v/>
      </c>
      <c r="AG16" s="41" t="str">
        <f>IF(AND('Mapa DIGSA'!$AD$17="Alta",'Mapa DIGSA'!$AF$17="Mayor"),CONCATENATE("R1C",'Mapa DIGSA'!$T$17),"")</f>
        <v/>
      </c>
      <c r="AH16" s="42" t="str">
        <f>IF(AND('Mapa DIGSA'!$AD$12="Alta",'Mapa DIGSA'!$AF$12="Catastrófico"),CONCATENATE("R1C",'Mapa DIGSA'!$T$12),"")</f>
        <v/>
      </c>
      <c r="AI16" s="43" t="str">
        <f>IF(AND('Mapa DIGSA'!$AD$13="Alta",'Mapa DIGSA'!$AF$13="Catastrófico"),CONCATENATE("R1C",'Mapa DIGSA'!$T$13),"")</f>
        <v/>
      </c>
      <c r="AJ16" s="43" t="str">
        <f>IF(AND('Mapa DIGSA'!$AD$14="Alta",'Mapa DIGSA'!$AF$14="Catastrófico"),CONCATENATE("R1C",'Mapa DIGSA'!$T$14),"")</f>
        <v/>
      </c>
      <c r="AK16" s="43" t="str">
        <f>IF(AND('Mapa DIGSA'!$AD$15="Alta",'Mapa DIGSA'!$AF$15="Catastrófico"),CONCATENATE("R1C",'Mapa DIGSA'!$T$15),"")</f>
        <v/>
      </c>
      <c r="AL16" s="43" t="str">
        <f>IF(AND('Mapa DIGSA'!$AD$16="Alta",'Mapa DIGSA'!$AF$16="Catastrófico"),CONCATENATE("R1C",'Mapa DIGSA'!$T$16),"")</f>
        <v/>
      </c>
      <c r="AM16" s="44" t="str">
        <f>IF(AND('Mapa DIGSA'!$AD$17="Alta",'Mapa DIGSA'!$AF$17="Catastrófico"),CONCATENATE("R1C",'Mapa DIGSA'!$T$17),"")</f>
        <v/>
      </c>
      <c r="AN16" s="10"/>
      <c r="AO16" s="391" t="s">
        <v>74</v>
      </c>
      <c r="AP16" s="392"/>
      <c r="AQ16" s="392"/>
      <c r="AR16" s="392"/>
      <c r="AS16" s="392"/>
      <c r="AT16" s="393"/>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row>
    <row r="17" spans="1:76" ht="15" customHeight="1" x14ac:dyDescent="0.25">
      <c r="A17" s="10"/>
      <c r="B17" s="343"/>
      <c r="C17" s="343"/>
      <c r="D17" s="344"/>
      <c r="E17" s="400"/>
      <c r="F17" s="401"/>
      <c r="G17" s="401"/>
      <c r="H17" s="401"/>
      <c r="I17" s="401"/>
      <c r="J17" s="61" t="str">
        <f>IF(AND('Mapa DIGSA'!$AD$18="Alta",'Mapa DIGSA'!$AF$18="Leve"),CONCATENATE("R2C",'Mapa DIGSA'!$T$18),"")</f>
        <v/>
      </c>
      <c r="K17" s="62" t="str">
        <f>IF(AND('Mapa DIGSA'!$AD$19="Alta",'Mapa DIGSA'!$AF$19="Leve"),CONCATENATE("R2C",'Mapa DIGSA'!$T$19),"")</f>
        <v/>
      </c>
      <c r="L17" s="62" t="str">
        <f>IF(AND('Mapa DIGSA'!$AD$20="Alta",'Mapa DIGSA'!$AF$20="Leve"),CONCATENATE("R2C",'Mapa DIGSA'!$T$20),"")</f>
        <v/>
      </c>
      <c r="M17" s="62" t="str">
        <f>IF(AND('Mapa DIGSA'!$AD$21="Alta",'Mapa DIGSA'!$AF$21="Leve"),CONCATENATE("R2C",'Mapa DIGSA'!$T$21),"")</f>
        <v/>
      </c>
      <c r="N17" s="62" t="str">
        <f>IF(AND('Mapa DIGSA'!$AD$22="Alta",'Mapa DIGSA'!$AF$22="Leve"),CONCATENATE("R2C",'Mapa DIGSA'!$T$22),"")</f>
        <v/>
      </c>
      <c r="O17" s="63" t="str">
        <f>IF(AND('Mapa DIGSA'!$AD$23="Alta",'Mapa DIGSA'!$AF$23="Leve"),CONCATENATE("R2C",'Mapa DIGSA'!$T$23),"")</f>
        <v/>
      </c>
      <c r="P17" s="61" t="str">
        <f>IF(AND('Mapa DIGSA'!$AD$18="Alta",'Mapa DIGSA'!$AF$18="Menor"),CONCATENATE("R2C",'Mapa DIGSA'!$T$18),"")</f>
        <v/>
      </c>
      <c r="Q17" s="62" t="str">
        <f>IF(AND('Mapa DIGSA'!$AD$19="Alta",'Mapa DIGSA'!$AF$19="Menor"),CONCATENATE("R2C",'Mapa DIGSA'!$T$19),"")</f>
        <v/>
      </c>
      <c r="R17" s="62" t="str">
        <f>IF(AND('Mapa DIGSA'!$AD$20="Alta",'Mapa DIGSA'!$AF$20="Menor"),CONCATENATE("R2C",'Mapa DIGSA'!$T$20),"")</f>
        <v/>
      </c>
      <c r="S17" s="62" t="str">
        <f>IF(AND('Mapa DIGSA'!$AD$21="Alta",'Mapa DIGSA'!$AF$21="Menor"),CONCATENATE("R2C",'Mapa DIGSA'!$T$21),"")</f>
        <v/>
      </c>
      <c r="T17" s="62" t="str">
        <f>IF(AND('Mapa DIGSA'!$AD$22="Alta",'Mapa DIGSA'!$AF$22="Menor"),CONCATENATE("R2C",'Mapa DIGSA'!$T$22),"")</f>
        <v/>
      </c>
      <c r="U17" s="63" t="str">
        <f>IF(AND('Mapa DIGSA'!$AD$23="Alta",'Mapa DIGSA'!$AF$23="Menor"),CONCATENATE("R2C",'Mapa DIGSA'!$T$23),"")</f>
        <v/>
      </c>
      <c r="V17" s="45" t="str">
        <f>IF(AND('Mapa DIGSA'!$AD$18="Alta",'Mapa DIGSA'!$AF$18="Moderado"),CONCATENATE("R2C",'Mapa DIGSA'!$T$18),"")</f>
        <v/>
      </c>
      <c r="W17" s="46" t="str">
        <f>IF(AND('Mapa DIGSA'!$AD$19="Alta",'Mapa DIGSA'!$AF$19="Moderado"),CONCATENATE("R2C",'Mapa DIGSA'!$T$19),"")</f>
        <v/>
      </c>
      <c r="X17" s="46" t="str">
        <f>IF(AND('Mapa DIGSA'!$AD$20="Alta",'Mapa DIGSA'!$AF$20="Moderado"),CONCATENATE("R2C",'Mapa DIGSA'!$T$20),"")</f>
        <v/>
      </c>
      <c r="Y17" s="46" t="str">
        <f>IF(AND('Mapa DIGSA'!$AD$21="Alta",'Mapa DIGSA'!$AF$21="Moderado"),CONCATENATE("R2C",'Mapa DIGSA'!$T$21),"")</f>
        <v/>
      </c>
      <c r="Z17" s="46" t="str">
        <f>IF(AND('Mapa DIGSA'!$AD$22="Alta",'Mapa DIGSA'!$AF$22="Moderado"),CONCATENATE("R2C",'Mapa DIGSA'!$T$22),"")</f>
        <v/>
      </c>
      <c r="AA17" s="47" t="str">
        <f>IF(AND('Mapa DIGSA'!$AD$23="Alta",'Mapa DIGSA'!$AF$23="Moderado"),CONCATENATE("R2C",'Mapa DIGSA'!$T$23),"")</f>
        <v/>
      </c>
      <c r="AB17" s="45" t="str">
        <f>IF(AND('Mapa DIGSA'!$AD$18="Alta",'Mapa DIGSA'!$AF$18="Mayor"),CONCATENATE("R2C",'Mapa DIGSA'!$T$18),"")</f>
        <v/>
      </c>
      <c r="AC17" s="46" t="str">
        <f>IF(AND('Mapa DIGSA'!$AD$19="Alta",'Mapa DIGSA'!$AF$19="Mayor"),CONCATENATE("R2C",'Mapa DIGSA'!$T$19),"")</f>
        <v/>
      </c>
      <c r="AD17" s="46" t="str">
        <f>IF(AND('Mapa DIGSA'!$AD$20="Alta",'Mapa DIGSA'!$AF$20="Mayor"),CONCATENATE("R2C",'Mapa DIGSA'!$T$20),"")</f>
        <v/>
      </c>
      <c r="AE17" s="46" t="str">
        <f>IF(AND('Mapa DIGSA'!$AD$21="Alta",'Mapa DIGSA'!$AF$21="Mayor"),CONCATENATE("R2C",'Mapa DIGSA'!$T$21),"")</f>
        <v/>
      </c>
      <c r="AF17" s="46" t="str">
        <f>IF(AND('Mapa DIGSA'!$AD$22="Alta",'Mapa DIGSA'!$AF$22="Mayor"),CONCATENATE("R2C",'Mapa DIGSA'!$T$22),"")</f>
        <v/>
      </c>
      <c r="AG17" s="47" t="str">
        <f>IF(AND('Mapa DIGSA'!$AD$23="Alta",'Mapa DIGSA'!$AF$23="Mayor"),CONCATENATE("R2C",'Mapa DIGSA'!$T$23),"")</f>
        <v/>
      </c>
      <c r="AH17" s="48" t="str">
        <f>IF(AND('Mapa DIGSA'!$AD$18="Alta",'Mapa DIGSA'!$AF$18="Catastrófico"),CONCATENATE("R2C",'Mapa DIGSA'!$T$18),"")</f>
        <v/>
      </c>
      <c r="AI17" s="49" t="str">
        <f>IF(AND('Mapa DIGSA'!$AD$19="Alta",'Mapa DIGSA'!$AF$19="Catastrófico"),CONCATENATE("R2C",'Mapa DIGSA'!$T$19),"")</f>
        <v/>
      </c>
      <c r="AJ17" s="49" t="str">
        <f>IF(AND('Mapa DIGSA'!$AD$20="Alta",'Mapa DIGSA'!$AF$20="Catastrófico"),CONCATENATE("R2C",'Mapa DIGSA'!$T$20),"")</f>
        <v/>
      </c>
      <c r="AK17" s="49" t="str">
        <f>IF(AND('Mapa DIGSA'!$AD$21="Alta",'Mapa DIGSA'!$AF$21="Catastrófico"),CONCATENATE("R2C",'Mapa DIGSA'!$T$21),"")</f>
        <v/>
      </c>
      <c r="AL17" s="49" t="str">
        <f>IF(AND('Mapa DIGSA'!$AD$22="Alta",'Mapa DIGSA'!$AF$22="Catastrófico"),CONCATENATE("R2C",'Mapa DIGSA'!$T$22),"")</f>
        <v/>
      </c>
      <c r="AM17" s="50" t="str">
        <f>IF(AND('Mapa DIGSA'!$AD$23="Alta",'Mapa DIGSA'!$AF$23="Catastrófico"),CONCATENATE("R2C",'Mapa DIGSA'!$T$23),"")</f>
        <v/>
      </c>
      <c r="AN17" s="10"/>
      <c r="AO17" s="394"/>
      <c r="AP17" s="395"/>
      <c r="AQ17" s="395"/>
      <c r="AR17" s="395"/>
      <c r="AS17" s="395"/>
      <c r="AT17" s="396"/>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row>
    <row r="18" spans="1:76" ht="15" customHeight="1" x14ac:dyDescent="0.25">
      <c r="A18" s="10"/>
      <c r="B18" s="343"/>
      <c r="C18" s="343"/>
      <c r="D18" s="344"/>
      <c r="E18" s="384"/>
      <c r="F18" s="385"/>
      <c r="G18" s="385"/>
      <c r="H18" s="385"/>
      <c r="I18" s="401"/>
      <c r="J18" s="61" t="str">
        <f>IF(AND('Mapa DIGSA'!$AD$24="Alta",'Mapa DIGSA'!$AF$24="Leve"),CONCATENATE("R3C",'Mapa DIGSA'!$T$24),"")</f>
        <v/>
      </c>
      <c r="K18" s="62" t="str">
        <f>IF(AND('Mapa DIGSA'!$AD$25="Alta",'Mapa DIGSA'!$AF$25="Leve"),CONCATENATE("R3C",'Mapa DIGSA'!$T$25),"")</f>
        <v/>
      </c>
      <c r="L18" s="62" t="str">
        <f>IF(AND('Mapa DIGSA'!$AD$26="Alta",'Mapa DIGSA'!$AF$26="Leve"),CONCATENATE("R3C",'Mapa DIGSA'!$T$26),"")</f>
        <v/>
      </c>
      <c r="M18" s="62" t="str">
        <f>IF(AND('Mapa DIGSA'!$AD$27="Alta",'Mapa DIGSA'!$AF$27="Leve"),CONCATENATE("R3C",'Mapa DIGSA'!$T$27),"")</f>
        <v/>
      </c>
      <c r="N18" s="62" t="str">
        <f>IF(AND('Mapa DIGSA'!$AD$28="Alta",'Mapa DIGSA'!$AF$28="Leve"),CONCATENATE("R3C",'Mapa DIGSA'!$T$28),"")</f>
        <v/>
      </c>
      <c r="O18" s="63" t="str">
        <f>IF(AND('Mapa DIGSA'!$AD$29="Alta",'Mapa DIGSA'!$AF$29="Leve"),CONCATENATE("R3C",'Mapa DIGSA'!$T$29),"")</f>
        <v/>
      </c>
      <c r="P18" s="61" t="str">
        <f>IF(AND('Mapa DIGSA'!$AD$24="Alta",'Mapa DIGSA'!$AF$24="Menor"),CONCATENATE("R3C",'Mapa DIGSA'!$T$24),"")</f>
        <v/>
      </c>
      <c r="Q18" s="62" t="str">
        <f>IF(AND('Mapa DIGSA'!$AD$25="Alta",'Mapa DIGSA'!$AF$25="Menor"),CONCATENATE("R3C",'Mapa DIGSA'!$T$25),"")</f>
        <v/>
      </c>
      <c r="R18" s="62" t="str">
        <f>IF(AND('Mapa DIGSA'!$AD$26="Alta",'Mapa DIGSA'!$AF$26="Menor"),CONCATENATE("R3C",'Mapa DIGSA'!$T$26),"")</f>
        <v/>
      </c>
      <c r="S18" s="62" t="str">
        <f>IF(AND('Mapa DIGSA'!$AD$27="Alta",'Mapa DIGSA'!$AF$27="Menor"),CONCATENATE("R3C",'Mapa DIGSA'!$T$27),"")</f>
        <v/>
      </c>
      <c r="T18" s="62" t="str">
        <f>IF(AND('Mapa DIGSA'!$AD$28="Alta",'Mapa DIGSA'!$AF$28="Menor"),CONCATENATE("R3C",'Mapa DIGSA'!$T$28),"")</f>
        <v/>
      </c>
      <c r="U18" s="63" t="str">
        <f>IF(AND('Mapa DIGSA'!$AD$29="Alta",'Mapa DIGSA'!$AF$29="Menor"),CONCATENATE("R3C",'Mapa DIGSA'!$T$29),"")</f>
        <v/>
      </c>
      <c r="V18" s="45" t="str">
        <f>IF(AND('Mapa DIGSA'!$AD$24="Alta",'Mapa DIGSA'!$AF$24="Moderado"),CONCATENATE("R3C",'Mapa DIGSA'!$T$24),"")</f>
        <v/>
      </c>
      <c r="W18" s="46" t="str">
        <f>IF(AND('Mapa DIGSA'!$AD$25="Alta",'Mapa DIGSA'!$AF$25="Moderado"),CONCATENATE("R3C",'Mapa DIGSA'!$T$25),"")</f>
        <v/>
      </c>
      <c r="X18" s="46" t="str">
        <f>IF(AND('Mapa DIGSA'!$AD$26="Alta",'Mapa DIGSA'!$AF$26="Moderado"),CONCATENATE("R3C",'Mapa DIGSA'!$T$26),"")</f>
        <v/>
      </c>
      <c r="Y18" s="46" t="str">
        <f>IF(AND('Mapa DIGSA'!$AD$27="Alta",'Mapa DIGSA'!$AF$27="Moderado"),CONCATENATE("R3C",'Mapa DIGSA'!$T$27),"")</f>
        <v/>
      </c>
      <c r="Z18" s="46" t="str">
        <f>IF(AND('Mapa DIGSA'!$AD$28="Alta",'Mapa DIGSA'!$AF$28="Moderado"),CONCATENATE("R3C",'Mapa DIGSA'!$T$28),"")</f>
        <v/>
      </c>
      <c r="AA18" s="47" t="str">
        <f>IF(AND('Mapa DIGSA'!$AD$29="Alta",'Mapa DIGSA'!$AF$29="Moderado"),CONCATENATE("R3C",'Mapa DIGSA'!$T$29),"")</f>
        <v/>
      </c>
      <c r="AB18" s="45" t="str">
        <f>IF(AND('Mapa DIGSA'!$AD$24="Alta",'Mapa DIGSA'!$AF$24="Mayor"),CONCATENATE("R3C",'Mapa DIGSA'!$T$24),"")</f>
        <v/>
      </c>
      <c r="AC18" s="46" t="str">
        <f>IF(AND('Mapa DIGSA'!$AD$25="Alta",'Mapa DIGSA'!$AF$25="Mayor"),CONCATENATE("R3C",'Mapa DIGSA'!$T$25),"")</f>
        <v/>
      </c>
      <c r="AD18" s="46" t="str">
        <f>IF(AND('Mapa DIGSA'!$AD$26="Alta",'Mapa DIGSA'!$AF$26="Mayor"),CONCATENATE("R3C",'Mapa DIGSA'!$T$26),"")</f>
        <v/>
      </c>
      <c r="AE18" s="46" t="str">
        <f>IF(AND('Mapa DIGSA'!$AD$27="Alta",'Mapa DIGSA'!$AF$27="Mayor"),CONCATENATE("R3C",'Mapa DIGSA'!$T$27),"")</f>
        <v/>
      </c>
      <c r="AF18" s="46" t="str">
        <f>IF(AND('Mapa DIGSA'!$AD$28="Alta",'Mapa DIGSA'!$AF$28="Mayor"),CONCATENATE("R3C",'Mapa DIGSA'!$T$28),"")</f>
        <v/>
      </c>
      <c r="AG18" s="47" t="str">
        <f>IF(AND('Mapa DIGSA'!$AD$29="Alta",'Mapa DIGSA'!$AF$29="Mayor"),CONCATENATE("R3C",'Mapa DIGSA'!$T$29),"")</f>
        <v/>
      </c>
      <c r="AH18" s="48" t="str">
        <f>IF(AND('Mapa DIGSA'!$AD$24="Alta",'Mapa DIGSA'!$AF$24="Catastrófico"),CONCATENATE("R3C",'Mapa DIGSA'!$T$24),"")</f>
        <v/>
      </c>
      <c r="AI18" s="49" t="str">
        <f>IF(AND('Mapa DIGSA'!$AD$25="Alta",'Mapa DIGSA'!$AF$25="Catastrófico"),CONCATENATE("R3C",'Mapa DIGSA'!$T$25),"")</f>
        <v/>
      </c>
      <c r="AJ18" s="49" t="str">
        <f>IF(AND('Mapa DIGSA'!$AD$26="Alta",'Mapa DIGSA'!$AF$26="Catastrófico"),CONCATENATE("R3C",'Mapa DIGSA'!$T$26),"")</f>
        <v/>
      </c>
      <c r="AK18" s="49" t="str">
        <f>IF(AND('Mapa DIGSA'!$AD$27="Alta",'Mapa DIGSA'!$AF$27="Catastrófico"),CONCATENATE("R3C",'Mapa DIGSA'!$T$27),"")</f>
        <v/>
      </c>
      <c r="AL18" s="49" t="str">
        <f>IF(AND('Mapa DIGSA'!$AD$28="Alta",'Mapa DIGSA'!$AF$28="Catastrófico"),CONCATENATE("R3C",'Mapa DIGSA'!$T$28),"")</f>
        <v/>
      </c>
      <c r="AM18" s="50" t="str">
        <f>IF(AND('Mapa DIGSA'!$AD$29="Alta",'Mapa DIGSA'!$AF$29="Catastrófico"),CONCATENATE("R3C",'Mapa DIGSA'!$T$29),"")</f>
        <v/>
      </c>
      <c r="AN18" s="10"/>
      <c r="AO18" s="394"/>
      <c r="AP18" s="395"/>
      <c r="AQ18" s="395"/>
      <c r="AR18" s="395"/>
      <c r="AS18" s="395"/>
      <c r="AT18" s="396"/>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row>
    <row r="19" spans="1:76" ht="15" customHeight="1" x14ac:dyDescent="0.25">
      <c r="A19" s="10"/>
      <c r="B19" s="343"/>
      <c r="C19" s="343"/>
      <c r="D19" s="344"/>
      <c r="E19" s="384"/>
      <c r="F19" s="385"/>
      <c r="G19" s="385"/>
      <c r="H19" s="385"/>
      <c r="I19" s="401"/>
      <c r="J19" s="61" t="str">
        <f>IF(AND('Mapa DIGSA'!$AD$30="Alta",'Mapa DIGSA'!$AF$30="Leve"),CONCATENATE("R4C",'Mapa DIGSA'!$T$30),"")</f>
        <v/>
      </c>
      <c r="K19" s="62" t="str">
        <f>IF(AND('Mapa DIGSA'!$AD$31="Alta",'Mapa DIGSA'!$AF$31="Leve"),CONCATENATE("R4C",'Mapa DIGSA'!$T$31),"")</f>
        <v/>
      </c>
      <c r="L19" s="62" t="str">
        <f>IF(AND('Mapa DIGSA'!$AD$32="Alta",'Mapa DIGSA'!$AF$32="Leve"),CONCATENATE("R4C",'Mapa DIGSA'!$T$32),"")</f>
        <v/>
      </c>
      <c r="M19" s="62" t="str">
        <f>IF(AND('Mapa DIGSA'!$AD$33="Alta",'Mapa DIGSA'!$AF$33="Leve"),CONCATENATE("R4C",'Mapa DIGSA'!$T$33),"")</f>
        <v/>
      </c>
      <c r="N19" s="62" t="str">
        <f>IF(AND('Mapa DIGSA'!$AD$34="Alta",'Mapa DIGSA'!$AF$34="Leve"),CONCATENATE("R4C",'Mapa DIGSA'!$T$34),"")</f>
        <v/>
      </c>
      <c r="O19" s="63" t="str">
        <f>IF(AND('Mapa DIGSA'!$AD$35="Alta",'Mapa DIGSA'!$AF$35="Leve"),CONCATENATE("R4C",'Mapa DIGSA'!$T$35),"")</f>
        <v/>
      </c>
      <c r="P19" s="61" t="str">
        <f>IF(AND('Mapa DIGSA'!$AD$30="Alta",'Mapa DIGSA'!$AF$30="Menor"),CONCATENATE("R4C",'Mapa DIGSA'!$T$30),"")</f>
        <v/>
      </c>
      <c r="Q19" s="62" t="str">
        <f>IF(AND('Mapa DIGSA'!$AD$31="Alta",'Mapa DIGSA'!$AF$31="Menor"),CONCATENATE("R4C",'Mapa DIGSA'!$T$31),"")</f>
        <v/>
      </c>
      <c r="R19" s="62" t="str">
        <f>IF(AND('Mapa DIGSA'!$AD$32="Alta",'Mapa DIGSA'!$AF$32="Menor"),CONCATENATE("R4C",'Mapa DIGSA'!$T$32),"")</f>
        <v/>
      </c>
      <c r="S19" s="62" t="str">
        <f>IF(AND('Mapa DIGSA'!$AD$33="Alta",'Mapa DIGSA'!$AF$33="Menor"),CONCATENATE("R4C",'Mapa DIGSA'!$T$33),"")</f>
        <v/>
      </c>
      <c r="T19" s="62" t="str">
        <f>IF(AND('Mapa DIGSA'!$AD$34="Alta",'Mapa DIGSA'!$AF$34="Menor"),CONCATENATE("R4C",'Mapa DIGSA'!$T$34),"")</f>
        <v/>
      </c>
      <c r="U19" s="63" t="str">
        <f>IF(AND('Mapa DIGSA'!$AD$35="Alta",'Mapa DIGSA'!$AF$35="Menor"),CONCATENATE("R4C",'Mapa DIGSA'!$T$35),"")</f>
        <v/>
      </c>
      <c r="V19" s="45" t="str">
        <f>IF(AND('Mapa DIGSA'!$AD$30="Alta",'Mapa DIGSA'!$AF$30="Moderado"),CONCATENATE("R4C",'Mapa DIGSA'!$T$30),"")</f>
        <v/>
      </c>
      <c r="W19" s="46" t="str">
        <f>IF(AND('Mapa DIGSA'!$AD$31="Alta",'Mapa DIGSA'!$AF$31="Moderado"),CONCATENATE("R4C",'Mapa DIGSA'!$T$31),"")</f>
        <v/>
      </c>
      <c r="X19" s="51" t="str">
        <f>IF(AND('Mapa DIGSA'!$AD$32="Alta",'Mapa DIGSA'!$AF$32="Moderado"),CONCATENATE("R4C",'Mapa DIGSA'!$T$32),"")</f>
        <v/>
      </c>
      <c r="Y19" s="51" t="str">
        <f>IF(AND('Mapa DIGSA'!$AD$33="Alta",'Mapa DIGSA'!$AF$33="Moderado"),CONCATENATE("R4C",'Mapa DIGSA'!$T$33),"")</f>
        <v/>
      </c>
      <c r="Z19" s="51" t="str">
        <f>IF(AND('Mapa DIGSA'!$AD$34="Alta",'Mapa DIGSA'!$AF$34="Moderado"),CONCATENATE("R4C",'Mapa DIGSA'!$T$34),"")</f>
        <v/>
      </c>
      <c r="AA19" s="47" t="str">
        <f>IF(AND('Mapa DIGSA'!$AD$35="Alta",'Mapa DIGSA'!$AF$35="Moderado"),CONCATENATE("R4C",'Mapa DIGSA'!$T$35),"")</f>
        <v/>
      </c>
      <c r="AB19" s="45" t="str">
        <f>IF(AND('Mapa DIGSA'!$AD$30="Alta",'Mapa DIGSA'!$AF$30="Mayor"),CONCATENATE("R4C",'Mapa DIGSA'!$T$30),"")</f>
        <v/>
      </c>
      <c r="AC19" s="46" t="str">
        <f>IF(AND('Mapa DIGSA'!$AD$31="Alta",'Mapa DIGSA'!$AF$31="Mayor"),CONCATENATE("R4C",'Mapa DIGSA'!$T$31),"")</f>
        <v/>
      </c>
      <c r="AD19" s="51" t="str">
        <f>IF(AND('Mapa DIGSA'!$AD$32="Alta",'Mapa DIGSA'!$AF$32="Mayor"),CONCATENATE("R4C",'Mapa DIGSA'!$T$32),"")</f>
        <v/>
      </c>
      <c r="AE19" s="51" t="str">
        <f>IF(AND('Mapa DIGSA'!$AD$33="Alta",'Mapa DIGSA'!$AF$33="Mayor"),CONCATENATE("R4C",'Mapa DIGSA'!$T$33),"")</f>
        <v/>
      </c>
      <c r="AF19" s="51" t="str">
        <f>IF(AND('Mapa DIGSA'!$AD$34="Alta",'Mapa DIGSA'!$AF$34="Mayor"),CONCATENATE("R4C",'Mapa DIGSA'!$T$34),"")</f>
        <v/>
      </c>
      <c r="AG19" s="47" t="str">
        <f>IF(AND('Mapa DIGSA'!$AD$35="Alta",'Mapa DIGSA'!$AF$35="Mayor"),CONCATENATE("R4C",'Mapa DIGSA'!$T$35),"")</f>
        <v/>
      </c>
      <c r="AH19" s="48" t="str">
        <f>IF(AND('Mapa DIGSA'!$AD$30="Alta",'Mapa DIGSA'!$AF$30="Catastrófico"),CONCATENATE("R4C",'Mapa DIGSA'!$T$30),"")</f>
        <v/>
      </c>
      <c r="AI19" s="49" t="str">
        <f>IF(AND('Mapa DIGSA'!$AD$31="Alta",'Mapa DIGSA'!$AF$31="Catastrófico"),CONCATENATE("R4C",'Mapa DIGSA'!$T$31),"")</f>
        <v/>
      </c>
      <c r="AJ19" s="49" t="str">
        <f>IF(AND('Mapa DIGSA'!$AD$32="Alta",'Mapa DIGSA'!$AF$32="Catastrófico"),CONCATENATE("R4C",'Mapa DIGSA'!$T$32),"")</f>
        <v/>
      </c>
      <c r="AK19" s="49" t="str">
        <f>IF(AND('Mapa DIGSA'!$AD$33="Alta",'Mapa DIGSA'!$AF$33="Catastrófico"),CONCATENATE("R4C",'Mapa DIGSA'!$T$33),"")</f>
        <v/>
      </c>
      <c r="AL19" s="49" t="str">
        <f>IF(AND('Mapa DIGSA'!$AD$34="Alta",'Mapa DIGSA'!$AF$34="Catastrófico"),CONCATENATE("R4C",'Mapa DIGSA'!$T$34),"")</f>
        <v/>
      </c>
      <c r="AM19" s="50" t="str">
        <f>IF(AND('Mapa DIGSA'!$AD$35="Alta",'Mapa DIGSA'!$AF$35="Catastrófico"),CONCATENATE("R4C",'Mapa DIGSA'!$T$35),"")</f>
        <v/>
      </c>
      <c r="AN19" s="10"/>
      <c r="AO19" s="394"/>
      <c r="AP19" s="395"/>
      <c r="AQ19" s="395"/>
      <c r="AR19" s="395"/>
      <c r="AS19" s="395"/>
      <c r="AT19" s="396"/>
      <c r="AU19" s="10"/>
      <c r="AV19" s="10"/>
      <c r="AW19" s="10"/>
      <c r="AX19" s="10"/>
      <c r="AY19" s="10"/>
      <c r="AZ19" s="10"/>
      <c r="BA19" s="10"/>
      <c r="BB19" s="10"/>
      <c r="BC19" s="10"/>
      <c r="BD19" s="10"/>
      <c r="BE19" s="10"/>
      <c r="BF19" s="10"/>
      <c r="BG19" s="10"/>
      <c r="BH19" s="10"/>
      <c r="BI19" s="10"/>
      <c r="BJ19" s="10"/>
      <c r="BK19" s="10"/>
      <c r="BL19" s="10"/>
      <c r="BM19" s="10"/>
      <c r="BN19" s="10"/>
      <c r="BO19" s="10"/>
      <c r="BP19" s="10"/>
      <c r="BQ19" s="10"/>
      <c r="BR19" s="10"/>
      <c r="BS19" s="10"/>
      <c r="BT19" s="10"/>
      <c r="BU19" s="10"/>
      <c r="BV19" s="10"/>
      <c r="BW19" s="10"/>
      <c r="BX19" s="10"/>
    </row>
    <row r="20" spans="1:76" ht="15" customHeight="1" x14ac:dyDescent="0.25">
      <c r="A20" s="10"/>
      <c r="B20" s="343"/>
      <c r="C20" s="343"/>
      <c r="D20" s="344"/>
      <c r="E20" s="384"/>
      <c r="F20" s="385"/>
      <c r="G20" s="385"/>
      <c r="H20" s="385"/>
      <c r="I20" s="401"/>
      <c r="J20" s="61" t="str">
        <f>IF(AND('Mapa DIGSA'!$AD$36="Alta",'Mapa DIGSA'!$AF$36="Leve"),CONCATENATE("R5C",'Mapa DIGSA'!$T$36),"")</f>
        <v/>
      </c>
      <c r="K20" s="62" t="str">
        <f>IF(AND('Mapa DIGSA'!$AD$37="Alta",'Mapa DIGSA'!$AF$37="Leve"),CONCATENATE("R5C",'Mapa DIGSA'!$T$37),"")</f>
        <v/>
      </c>
      <c r="L20" s="62" t="str">
        <f>IF(AND('Mapa DIGSA'!$AD$38="Alta",'Mapa DIGSA'!$AF$38="Leve"),CONCATENATE("R5C",'Mapa DIGSA'!$T$38),"")</f>
        <v/>
      </c>
      <c r="M20" s="62" t="str">
        <f>IF(AND('Mapa DIGSA'!$AD$39="Alta",'Mapa DIGSA'!$AF$39="Leve"),CONCATENATE("R5C",'Mapa DIGSA'!$T$39),"")</f>
        <v/>
      </c>
      <c r="N20" s="62" t="str">
        <f>IF(AND('Mapa DIGSA'!$AD$40="Alta",'Mapa DIGSA'!$AF$40="Leve"),CONCATENATE("R5C",'Mapa DIGSA'!$T$40),"")</f>
        <v/>
      </c>
      <c r="O20" s="63" t="str">
        <f>IF(AND('Mapa DIGSA'!$AD$41="Alta",'Mapa DIGSA'!$AF$41="Leve"),CONCATENATE("R5C",'Mapa DIGSA'!$T$41),"")</f>
        <v/>
      </c>
      <c r="P20" s="61" t="str">
        <f>IF(AND('Mapa DIGSA'!$AD$36="Alta",'Mapa DIGSA'!$AF$36="Menor"),CONCATENATE("R5C",'Mapa DIGSA'!$T$36),"")</f>
        <v/>
      </c>
      <c r="Q20" s="62" t="str">
        <f>IF(AND('Mapa DIGSA'!$AD$37="Alta",'Mapa DIGSA'!$AF$37="Menor"),CONCATENATE("R5C",'Mapa DIGSA'!$T$37),"")</f>
        <v/>
      </c>
      <c r="R20" s="62" t="str">
        <f>IF(AND('Mapa DIGSA'!$AD$38="Alta",'Mapa DIGSA'!$AF$38="Menor"),CONCATENATE("R5C",'Mapa DIGSA'!$T$38),"")</f>
        <v/>
      </c>
      <c r="S20" s="62" t="str">
        <f>IF(AND('Mapa DIGSA'!$AD$39="Alta",'Mapa DIGSA'!$AF$39="Menor"),CONCATENATE("R5C",'Mapa DIGSA'!$T$39),"")</f>
        <v/>
      </c>
      <c r="T20" s="62" t="str">
        <f>IF(AND('Mapa DIGSA'!$AD$40="Alta",'Mapa DIGSA'!$AF$40="Menor"),CONCATENATE("R5C",'Mapa DIGSA'!$T$40),"")</f>
        <v/>
      </c>
      <c r="U20" s="63" t="str">
        <f>IF(AND('Mapa DIGSA'!$AD$41="Alta",'Mapa DIGSA'!$AF$41="Menor"),CONCATENATE("R5C",'Mapa DIGSA'!$T$41),"")</f>
        <v/>
      </c>
      <c r="V20" s="45" t="str">
        <f>IF(AND('Mapa DIGSA'!$AD$36="Alta",'Mapa DIGSA'!$AF$36="Moderado"),CONCATENATE("R5C",'Mapa DIGSA'!$T$36),"")</f>
        <v/>
      </c>
      <c r="W20" s="46" t="str">
        <f>IF(AND('Mapa DIGSA'!$AD$37="Alta",'Mapa DIGSA'!$AF$37="Moderado"),CONCATENATE("R5C",'Mapa DIGSA'!$T$37),"")</f>
        <v/>
      </c>
      <c r="X20" s="51" t="str">
        <f>IF(AND('Mapa DIGSA'!$AD$38="Alta",'Mapa DIGSA'!$AF$38="Moderado"),CONCATENATE("R5C",'Mapa DIGSA'!$T$38),"")</f>
        <v/>
      </c>
      <c r="Y20" s="51" t="str">
        <f>IF(AND('Mapa DIGSA'!$AD$39="Alta",'Mapa DIGSA'!$AF$39="Moderado"),CONCATENATE("R5C",'Mapa DIGSA'!$T$39),"")</f>
        <v/>
      </c>
      <c r="Z20" s="51" t="str">
        <f>IF(AND('Mapa DIGSA'!$AD$40="Alta",'Mapa DIGSA'!$AF$40="Moderado"),CONCATENATE("R5C",'Mapa DIGSA'!$T$40),"")</f>
        <v/>
      </c>
      <c r="AA20" s="47" t="str">
        <f>IF(AND('Mapa DIGSA'!$AD$41="Alta",'Mapa DIGSA'!$AF$41="Moderado"),CONCATENATE("R5C",'Mapa DIGSA'!$T$41),"")</f>
        <v/>
      </c>
      <c r="AB20" s="45" t="str">
        <f>IF(AND('Mapa DIGSA'!$AD$36="Alta",'Mapa DIGSA'!$AF$36="Mayor"),CONCATENATE("R5C",'Mapa DIGSA'!$T$36),"")</f>
        <v/>
      </c>
      <c r="AC20" s="46" t="str">
        <f>IF(AND('Mapa DIGSA'!$AD$37="Alta",'Mapa DIGSA'!$AF$37="Mayor"),CONCATENATE("R5C",'Mapa DIGSA'!$T$37),"")</f>
        <v/>
      </c>
      <c r="AD20" s="51" t="str">
        <f>IF(AND('Mapa DIGSA'!$AD$38="Alta",'Mapa DIGSA'!$AF$38="Mayor"),CONCATENATE("R5C",'Mapa DIGSA'!$T$38),"")</f>
        <v/>
      </c>
      <c r="AE20" s="51" t="str">
        <f>IF(AND('Mapa DIGSA'!$AD$39="Alta",'Mapa DIGSA'!$AF$39="Mayor"),CONCATENATE("R5C",'Mapa DIGSA'!$T$39),"")</f>
        <v/>
      </c>
      <c r="AF20" s="51" t="str">
        <f>IF(AND('Mapa DIGSA'!$AD$40="Alta",'Mapa DIGSA'!$AF$40="Mayor"),CONCATENATE("R5C",'Mapa DIGSA'!$T$40),"")</f>
        <v/>
      </c>
      <c r="AG20" s="47" t="str">
        <f>IF(AND('Mapa DIGSA'!$AD$41="Alta",'Mapa DIGSA'!$AF$41="Mayor"),CONCATENATE("R5C",'Mapa DIGSA'!$T$41),"")</f>
        <v/>
      </c>
      <c r="AH20" s="48" t="str">
        <f>IF(AND('Mapa DIGSA'!$AD$36="Alta",'Mapa DIGSA'!$AF$36="Catastrófico"),CONCATENATE("R5C",'Mapa DIGSA'!$T$36),"")</f>
        <v/>
      </c>
      <c r="AI20" s="49" t="str">
        <f>IF(AND('Mapa DIGSA'!$AD$37="Alta",'Mapa DIGSA'!$AF$37="Catastrófico"),CONCATENATE("R5C",'Mapa DIGSA'!$T$37),"")</f>
        <v/>
      </c>
      <c r="AJ20" s="49" t="str">
        <f>IF(AND('Mapa DIGSA'!$AD$38="Alta",'Mapa DIGSA'!$AF$38="Catastrófico"),CONCATENATE("R5C",'Mapa DIGSA'!$T$38),"")</f>
        <v/>
      </c>
      <c r="AK20" s="49" t="str">
        <f>IF(AND('Mapa DIGSA'!$AD$39="Alta",'Mapa DIGSA'!$AF$39="Catastrófico"),CONCATENATE("R5C",'Mapa DIGSA'!$T$39),"")</f>
        <v/>
      </c>
      <c r="AL20" s="49" t="str">
        <f>IF(AND('Mapa DIGSA'!$AD$40="Alta",'Mapa DIGSA'!$AF$40="Catastrófico"),CONCATENATE("R5C",'Mapa DIGSA'!$T$40),"")</f>
        <v/>
      </c>
      <c r="AM20" s="50" t="str">
        <f>IF(AND('Mapa DIGSA'!$AD$41="Alta",'Mapa DIGSA'!$AF$41="Catastrófico"),CONCATENATE("R5C",'Mapa DIGSA'!$T$41),"")</f>
        <v/>
      </c>
      <c r="AN20" s="10"/>
      <c r="AO20" s="394"/>
      <c r="AP20" s="395"/>
      <c r="AQ20" s="395"/>
      <c r="AR20" s="395"/>
      <c r="AS20" s="395"/>
      <c r="AT20" s="396"/>
      <c r="AU20" s="10"/>
      <c r="AV20" s="10"/>
      <c r="AW20" s="10"/>
      <c r="AX20" s="10"/>
      <c r="AY20" s="10"/>
      <c r="AZ20" s="10"/>
      <c r="BA20" s="10"/>
      <c r="BB20" s="10"/>
      <c r="BC20" s="10"/>
      <c r="BD20" s="10"/>
      <c r="BE20" s="10"/>
      <c r="BF20" s="10"/>
      <c r="BG20" s="10"/>
      <c r="BH20" s="10"/>
      <c r="BI20" s="10"/>
      <c r="BJ20" s="10"/>
      <c r="BK20" s="10"/>
      <c r="BL20" s="10"/>
      <c r="BM20" s="10"/>
      <c r="BN20" s="10"/>
      <c r="BO20" s="10"/>
      <c r="BP20" s="10"/>
      <c r="BQ20" s="10"/>
      <c r="BR20" s="10"/>
      <c r="BS20" s="10"/>
      <c r="BT20" s="10"/>
      <c r="BU20" s="10"/>
      <c r="BV20" s="10"/>
      <c r="BW20" s="10"/>
      <c r="BX20" s="10"/>
    </row>
    <row r="21" spans="1:76" ht="15" customHeight="1" x14ac:dyDescent="0.25">
      <c r="A21" s="10"/>
      <c r="B21" s="343"/>
      <c r="C21" s="343"/>
      <c r="D21" s="344"/>
      <c r="E21" s="384"/>
      <c r="F21" s="385"/>
      <c r="G21" s="385"/>
      <c r="H21" s="385"/>
      <c r="I21" s="401"/>
      <c r="J21" s="61" t="str">
        <f>IF(AND('Mapa DIGSA'!$AD$42="Alta",'Mapa DIGSA'!$AF$42="Leve"),CONCATENATE("R6C",'Mapa DIGSA'!$T$42),"")</f>
        <v/>
      </c>
      <c r="K21" s="62" t="str">
        <f>IF(AND('Mapa DIGSA'!$AD$43="Alta",'Mapa DIGSA'!$AF$43="Leve"),CONCATENATE("R6C",'Mapa DIGSA'!$T$43),"")</f>
        <v/>
      </c>
      <c r="L21" s="62" t="str">
        <f>IF(AND('Mapa DIGSA'!$AD$44="Alta",'Mapa DIGSA'!$AF$44="Leve"),CONCATENATE("R6C",'Mapa DIGSA'!$T$44),"")</f>
        <v/>
      </c>
      <c r="M21" s="62" t="str">
        <f>IF(AND('Mapa DIGSA'!$AD$45="Alta",'Mapa DIGSA'!$AF$45="Leve"),CONCATENATE("R6C",'Mapa DIGSA'!$T$45),"")</f>
        <v/>
      </c>
      <c r="N21" s="62" t="str">
        <f>IF(AND('Mapa DIGSA'!$AD$46="Alta",'Mapa DIGSA'!$AF$46="Leve"),CONCATENATE("R6C",'Mapa DIGSA'!$T$46),"")</f>
        <v/>
      </c>
      <c r="O21" s="63" t="str">
        <f>IF(AND('Mapa DIGSA'!$AD$47="Alta",'Mapa DIGSA'!$AF$47="Leve"),CONCATENATE("R6C",'Mapa DIGSA'!$T$47),"")</f>
        <v/>
      </c>
      <c r="P21" s="61" t="str">
        <f>IF(AND('Mapa DIGSA'!$AD$42="Alta",'Mapa DIGSA'!$AF$42="Menor"),CONCATENATE("R6C",'Mapa DIGSA'!$T$42),"")</f>
        <v/>
      </c>
      <c r="Q21" s="62" t="str">
        <f>IF(AND('Mapa DIGSA'!$AD$43="Alta",'Mapa DIGSA'!$AF$43="Menor"),CONCATENATE("R6C",'Mapa DIGSA'!$T$43),"")</f>
        <v/>
      </c>
      <c r="R21" s="62" t="str">
        <f>IF(AND('Mapa DIGSA'!$AD$44="Alta",'Mapa DIGSA'!$AF$44="Menor"),CONCATENATE("R6C",'Mapa DIGSA'!$T$44),"")</f>
        <v/>
      </c>
      <c r="S21" s="62" t="str">
        <f>IF(AND('Mapa DIGSA'!$AD$45="Alta",'Mapa DIGSA'!$AF$45="Menor"),CONCATENATE("R6C",'Mapa DIGSA'!$T$45),"")</f>
        <v/>
      </c>
      <c r="T21" s="62" t="str">
        <f>IF(AND('Mapa DIGSA'!$AD$46="Alta",'Mapa DIGSA'!$AF$46="Menor"),CONCATENATE("R6C",'Mapa DIGSA'!$T$46),"")</f>
        <v/>
      </c>
      <c r="U21" s="63" t="str">
        <f>IF(AND('Mapa DIGSA'!$AD$47="Alta",'Mapa DIGSA'!$AF$47="Menor"),CONCATENATE("R6C",'Mapa DIGSA'!$T$47),"")</f>
        <v/>
      </c>
      <c r="V21" s="45" t="str">
        <f>IF(AND('Mapa DIGSA'!$AD$42="Alta",'Mapa DIGSA'!$AF$42="Moderado"),CONCATENATE("R6C",'Mapa DIGSA'!$T$42),"")</f>
        <v/>
      </c>
      <c r="W21" s="46" t="str">
        <f>IF(AND('Mapa DIGSA'!$AD$43="Alta",'Mapa DIGSA'!$AF$43="Moderado"),CONCATENATE("R6C",'Mapa DIGSA'!$T$43),"")</f>
        <v/>
      </c>
      <c r="X21" s="51" t="str">
        <f>IF(AND('Mapa DIGSA'!$AD$44="Alta",'Mapa DIGSA'!$AF$44="Moderado"),CONCATENATE("R6C",'Mapa DIGSA'!$T$44),"")</f>
        <v/>
      </c>
      <c r="Y21" s="51" t="str">
        <f>IF(AND('Mapa DIGSA'!$AD$45="Alta",'Mapa DIGSA'!$AF$45="Moderado"),CONCATENATE("R6C",'Mapa DIGSA'!$T$45),"")</f>
        <v/>
      </c>
      <c r="Z21" s="51" t="str">
        <f>IF(AND('Mapa DIGSA'!$AD$46="Alta",'Mapa DIGSA'!$AF$46="Moderado"),CONCATENATE("R6C",'Mapa DIGSA'!$T$46),"")</f>
        <v/>
      </c>
      <c r="AA21" s="47" t="str">
        <f>IF(AND('Mapa DIGSA'!$AD$47="Alta",'Mapa DIGSA'!$AF$47="Moderado"),CONCATENATE("R6C",'Mapa DIGSA'!$T$47),"")</f>
        <v/>
      </c>
      <c r="AB21" s="45" t="str">
        <f>IF(AND('Mapa DIGSA'!$AD$42="Alta",'Mapa DIGSA'!$AF$42="Mayor"),CONCATENATE("R6C",'Mapa DIGSA'!$T$42),"")</f>
        <v/>
      </c>
      <c r="AC21" s="46" t="str">
        <f>IF(AND('Mapa DIGSA'!$AD$43="Alta",'Mapa DIGSA'!$AF$43="Mayor"),CONCATENATE("R6C",'Mapa DIGSA'!$T$43),"")</f>
        <v/>
      </c>
      <c r="AD21" s="51" t="str">
        <f>IF(AND('Mapa DIGSA'!$AD$44="Alta",'Mapa DIGSA'!$AF$44="Mayor"),CONCATENATE("R6C",'Mapa DIGSA'!$T$44),"")</f>
        <v/>
      </c>
      <c r="AE21" s="51" t="str">
        <f>IF(AND('Mapa DIGSA'!$AD$45="Alta",'Mapa DIGSA'!$AF$45="Mayor"),CONCATENATE("R6C",'Mapa DIGSA'!$T$45),"")</f>
        <v/>
      </c>
      <c r="AF21" s="51" t="str">
        <f>IF(AND('Mapa DIGSA'!$AD$46="Alta",'Mapa DIGSA'!$AF$46="Mayor"),CONCATENATE("R6C",'Mapa DIGSA'!$T$46),"")</f>
        <v/>
      </c>
      <c r="AG21" s="47" t="str">
        <f>IF(AND('Mapa DIGSA'!$AD$47="Alta",'Mapa DIGSA'!$AF$47="Mayor"),CONCATENATE("R6C",'Mapa DIGSA'!$T$47),"")</f>
        <v/>
      </c>
      <c r="AH21" s="48" t="str">
        <f>IF(AND('Mapa DIGSA'!$AD$42="Alta",'Mapa DIGSA'!$AF$42="Catastrófico"),CONCATENATE("R6C",'Mapa DIGSA'!$T$42),"")</f>
        <v/>
      </c>
      <c r="AI21" s="49" t="str">
        <f>IF(AND('Mapa DIGSA'!$AD$43="Alta",'Mapa DIGSA'!$AF$43="Catastrófico"),CONCATENATE("R6C",'Mapa DIGSA'!$T$43),"")</f>
        <v/>
      </c>
      <c r="AJ21" s="49" t="str">
        <f>IF(AND('Mapa DIGSA'!$AD$44="Alta",'Mapa DIGSA'!$AF$44="Catastrófico"),CONCATENATE("R6C",'Mapa DIGSA'!$T$44),"")</f>
        <v/>
      </c>
      <c r="AK21" s="49" t="str">
        <f>IF(AND('Mapa DIGSA'!$AD$45="Alta",'Mapa DIGSA'!$AF$45="Catastrófico"),CONCATENATE("R6C",'Mapa DIGSA'!$T$45),"")</f>
        <v/>
      </c>
      <c r="AL21" s="49" t="str">
        <f>IF(AND('Mapa DIGSA'!$AD$46="Alta",'Mapa DIGSA'!$AF$46="Catastrófico"),CONCATENATE("R6C",'Mapa DIGSA'!$T$46),"")</f>
        <v/>
      </c>
      <c r="AM21" s="50" t="str">
        <f>IF(AND('Mapa DIGSA'!$AD$47="Alta",'Mapa DIGSA'!$AF$47="Catastrófico"),CONCATENATE("R6C",'Mapa DIGSA'!$T$47),"")</f>
        <v/>
      </c>
      <c r="AN21" s="10"/>
      <c r="AO21" s="394"/>
      <c r="AP21" s="395"/>
      <c r="AQ21" s="395"/>
      <c r="AR21" s="395"/>
      <c r="AS21" s="395"/>
      <c r="AT21" s="396"/>
      <c r="AU21" s="10"/>
      <c r="AV21" s="10"/>
      <c r="AW21" s="10"/>
      <c r="AX21" s="10"/>
      <c r="AY21" s="10"/>
      <c r="AZ21" s="10"/>
      <c r="BA21" s="10"/>
      <c r="BB21" s="10"/>
      <c r="BC21" s="10"/>
      <c r="BD21" s="10"/>
      <c r="BE21" s="10"/>
      <c r="BF21" s="10"/>
      <c r="BG21" s="10"/>
      <c r="BH21" s="10"/>
      <c r="BI21" s="10"/>
      <c r="BJ21" s="10"/>
      <c r="BK21" s="10"/>
      <c r="BL21" s="10"/>
      <c r="BM21" s="10"/>
      <c r="BN21" s="10"/>
      <c r="BO21" s="10"/>
      <c r="BP21" s="10"/>
      <c r="BQ21" s="10"/>
      <c r="BR21" s="10"/>
      <c r="BS21" s="10"/>
      <c r="BT21" s="10"/>
      <c r="BU21" s="10"/>
      <c r="BV21" s="10"/>
      <c r="BW21" s="10"/>
      <c r="BX21" s="10"/>
    </row>
    <row r="22" spans="1:76" ht="15" customHeight="1" x14ac:dyDescent="0.25">
      <c r="A22" s="10"/>
      <c r="B22" s="343"/>
      <c r="C22" s="343"/>
      <c r="D22" s="344"/>
      <c r="E22" s="384"/>
      <c r="F22" s="385"/>
      <c r="G22" s="385"/>
      <c r="H22" s="385"/>
      <c r="I22" s="401"/>
      <c r="J22" s="61" t="str">
        <f>IF(AND('Mapa DIGSA'!$AD$48="Alta",'Mapa DIGSA'!$AF$48="Leve"),CONCATENATE("R7C",'Mapa DIGSA'!$T$48),"")</f>
        <v/>
      </c>
      <c r="K22" s="62" t="str">
        <f>IF(AND('Mapa DIGSA'!$AD$49="Alta",'Mapa DIGSA'!$AF$49="Leve"),CONCATENATE("R7C",'Mapa DIGSA'!$T$49),"")</f>
        <v/>
      </c>
      <c r="L22" s="62" t="str">
        <f>IF(AND('Mapa DIGSA'!$AD$50="Alta",'Mapa DIGSA'!$AF$50="Leve"),CONCATENATE("R7C",'Mapa DIGSA'!$T$50),"")</f>
        <v/>
      </c>
      <c r="M22" s="62" t="str">
        <f>IF(AND('Mapa DIGSA'!$AD$51="Alta",'Mapa DIGSA'!$AF$51="Leve"),CONCATENATE("R7C",'Mapa DIGSA'!$T$51),"")</f>
        <v/>
      </c>
      <c r="N22" s="62" t="str">
        <f>IF(AND('Mapa DIGSA'!$AD$52="Alta",'Mapa DIGSA'!$AF$52="Leve"),CONCATENATE("R7C",'Mapa DIGSA'!$T$52),"")</f>
        <v/>
      </c>
      <c r="O22" s="63" t="str">
        <f>IF(AND('Mapa DIGSA'!$AD$53="Alta",'Mapa DIGSA'!$AF$53="Leve"),CONCATENATE("R7C",'Mapa DIGSA'!$T$53),"")</f>
        <v/>
      </c>
      <c r="P22" s="61" t="str">
        <f>IF(AND('Mapa DIGSA'!$AD$48="Alta",'Mapa DIGSA'!$AF$48="Menor"),CONCATENATE("R7C",'Mapa DIGSA'!$T$48),"")</f>
        <v/>
      </c>
      <c r="Q22" s="62" t="str">
        <f>IF(AND('Mapa DIGSA'!$AD$49="Alta",'Mapa DIGSA'!$AF$49="Menor"),CONCATENATE("R7C",'Mapa DIGSA'!$T$49),"")</f>
        <v/>
      </c>
      <c r="R22" s="62" t="str">
        <f>IF(AND('Mapa DIGSA'!$AD$50="Alta",'Mapa DIGSA'!$AF$50="Menor"),CONCATENATE("R7C",'Mapa DIGSA'!$T$50),"")</f>
        <v/>
      </c>
      <c r="S22" s="62" t="str">
        <f>IF(AND('Mapa DIGSA'!$AD$51="Alta",'Mapa DIGSA'!$AF$51="Menor"),CONCATENATE("R7C",'Mapa DIGSA'!$T$51),"")</f>
        <v/>
      </c>
      <c r="T22" s="62" t="str">
        <f>IF(AND('Mapa DIGSA'!$AD$52="Alta",'Mapa DIGSA'!$AF$52="Menor"),CONCATENATE("R7C",'Mapa DIGSA'!$T$52),"")</f>
        <v/>
      </c>
      <c r="U22" s="63" t="str">
        <f>IF(AND('Mapa DIGSA'!$AD$53="Alta",'Mapa DIGSA'!$AF$53="Menor"),CONCATENATE("R7C",'Mapa DIGSA'!$T$53),"")</f>
        <v/>
      </c>
      <c r="V22" s="45" t="str">
        <f>IF(AND('Mapa DIGSA'!$AD$48="Alta",'Mapa DIGSA'!$AF$48="Moderado"),CONCATENATE("R7C",'Mapa DIGSA'!$T$48),"")</f>
        <v/>
      </c>
      <c r="W22" s="46" t="str">
        <f>IF(AND('Mapa DIGSA'!$AD$49="Alta",'Mapa DIGSA'!$AF$49="Moderado"),CONCATENATE("R7C",'Mapa DIGSA'!$T$49),"")</f>
        <v/>
      </c>
      <c r="X22" s="51" t="str">
        <f>IF(AND('Mapa DIGSA'!$AD$50="Alta",'Mapa DIGSA'!$AF$50="Moderado"),CONCATENATE("R7C",'Mapa DIGSA'!$T$50),"")</f>
        <v/>
      </c>
      <c r="Y22" s="51" t="str">
        <f>IF(AND('Mapa DIGSA'!$AD$51="Alta",'Mapa DIGSA'!$AF$51="Moderado"),CONCATENATE("R7C",'Mapa DIGSA'!$T$51),"")</f>
        <v/>
      </c>
      <c r="Z22" s="51" t="str">
        <f>IF(AND('Mapa DIGSA'!$AD$52="Alta",'Mapa DIGSA'!$AF$52="Moderado"),CONCATENATE("R7C",'Mapa DIGSA'!$T$52),"")</f>
        <v/>
      </c>
      <c r="AA22" s="47" t="str">
        <f>IF(AND('Mapa DIGSA'!$AD$53="Alta",'Mapa DIGSA'!$AF$53="Moderado"),CONCATENATE("R7C",'Mapa DIGSA'!$T$53),"")</f>
        <v/>
      </c>
      <c r="AB22" s="45" t="str">
        <f>IF(AND('Mapa DIGSA'!$AD$48="Alta",'Mapa DIGSA'!$AF$48="Mayor"),CONCATENATE("R7C",'Mapa DIGSA'!$T$48),"")</f>
        <v/>
      </c>
      <c r="AC22" s="46" t="str">
        <f>IF(AND('Mapa DIGSA'!$AD$49="Alta",'Mapa DIGSA'!$AF$49="Mayor"),CONCATENATE("R7C",'Mapa DIGSA'!$T$49),"")</f>
        <v/>
      </c>
      <c r="AD22" s="51" t="str">
        <f>IF(AND('Mapa DIGSA'!$AD$50="Alta",'Mapa DIGSA'!$AF$50="Mayor"),CONCATENATE("R7C",'Mapa DIGSA'!$T$50),"")</f>
        <v/>
      </c>
      <c r="AE22" s="51" t="str">
        <f>IF(AND('Mapa DIGSA'!$AD$51="Alta",'Mapa DIGSA'!$AF$51="Mayor"),CONCATENATE("R7C",'Mapa DIGSA'!$T$51),"")</f>
        <v/>
      </c>
      <c r="AF22" s="51" t="str">
        <f>IF(AND('Mapa DIGSA'!$AD$52="Alta",'Mapa DIGSA'!$AF$52="Mayor"),CONCATENATE("R7C",'Mapa DIGSA'!$T$52),"")</f>
        <v/>
      </c>
      <c r="AG22" s="47" t="str">
        <f>IF(AND('Mapa DIGSA'!$AD$53="Alta",'Mapa DIGSA'!$AF$53="Mayor"),CONCATENATE("R7C",'Mapa DIGSA'!$T$53),"")</f>
        <v/>
      </c>
      <c r="AH22" s="48" t="str">
        <f>IF(AND('Mapa DIGSA'!$AD$48="Alta",'Mapa DIGSA'!$AF$48="Catastrófico"),CONCATENATE("R7C",'Mapa DIGSA'!$T$48),"")</f>
        <v/>
      </c>
      <c r="AI22" s="49" t="str">
        <f>IF(AND('Mapa DIGSA'!$AD$49="Alta",'Mapa DIGSA'!$AF$49="Catastrófico"),CONCATENATE("R7C",'Mapa DIGSA'!$T$49),"")</f>
        <v/>
      </c>
      <c r="AJ22" s="49" t="str">
        <f>IF(AND('Mapa DIGSA'!$AD$50="Alta",'Mapa DIGSA'!$AF$50="Catastrófico"),CONCATENATE("R7C",'Mapa DIGSA'!$T$50),"")</f>
        <v/>
      </c>
      <c r="AK22" s="49" t="str">
        <f>IF(AND('Mapa DIGSA'!$AD$51="Alta",'Mapa DIGSA'!$AF$51="Catastrófico"),CONCATENATE("R7C",'Mapa DIGSA'!$T$51),"")</f>
        <v/>
      </c>
      <c r="AL22" s="49" t="str">
        <f>IF(AND('Mapa DIGSA'!$AD$52="Alta",'Mapa DIGSA'!$AF$52="Catastrófico"),CONCATENATE("R7C",'Mapa DIGSA'!$T$52),"")</f>
        <v/>
      </c>
      <c r="AM22" s="50" t="str">
        <f>IF(AND('Mapa DIGSA'!$AD$53="Alta",'Mapa DIGSA'!$AF$53="Catastrófico"),CONCATENATE("R7C",'Mapa DIGSA'!$T$53),"")</f>
        <v/>
      </c>
      <c r="AN22" s="10"/>
      <c r="AO22" s="394"/>
      <c r="AP22" s="395"/>
      <c r="AQ22" s="395"/>
      <c r="AR22" s="395"/>
      <c r="AS22" s="395"/>
      <c r="AT22" s="396"/>
      <c r="AU22" s="10"/>
      <c r="AV22" s="10"/>
      <c r="AW22" s="10"/>
      <c r="AX22" s="10"/>
      <c r="AY22" s="10"/>
      <c r="AZ22" s="10"/>
      <c r="BA22" s="10"/>
      <c r="BB22" s="10"/>
      <c r="BC22" s="10"/>
      <c r="BD22" s="10"/>
      <c r="BE22" s="10"/>
      <c r="BF22" s="10"/>
      <c r="BG22" s="10"/>
      <c r="BH22" s="10"/>
      <c r="BI22" s="10"/>
      <c r="BJ22" s="10"/>
      <c r="BK22" s="10"/>
      <c r="BL22" s="10"/>
      <c r="BM22" s="10"/>
      <c r="BN22" s="10"/>
      <c r="BO22" s="10"/>
      <c r="BP22" s="10"/>
      <c r="BQ22" s="10"/>
      <c r="BR22" s="10"/>
      <c r="BS22" s="10"/>
      <c r="BT22" s="10"/>
      <c r="BU22" s="10"/>
      <c r="BV22" s="10"/>
      <c r="BW22" s="10"/>
      <c r="BX22" s="10"/>
    </row>
    <row r="23" spans="1:76" ht="15" customHeight="1" x14ac:dyDescent="0.25">
      <c r="A23" s="10"/>
      <c r="B23" s="343"/>
      <c r="C23" s="343"/>
      <c r="D23" s="344"/>
      <c r="E23" s="384"/>
      <c r="F23" s="385"/>
      <c r="G23" s="385"/>
      <c r="H23" s="385"/>
      <c r="I23" s="401"/>
      <c r="J23" s="61" t="str">
        <f>IF(AND('Mapa DIGSA'!$AD$54="Alta",'Mapa DIGSA'!$AF$54="Leve"),CONCATENATE("R8C",'Mapa DIGSA'!$T$54),"")</f>
        <v/>
      </c>
      <c r="K23" s="62" t="str">
        <f>IF(AND('Mapa DIGSA'!$AD$55="Alta",'Mapa DIGSA'!$AF$55="Leve"),CONCATENATE("R8C",'Mapa DIGSA'!$T$55),"")</f>
        <v/>
      </c>
      <c r="L23" s="62" t="str">
        <f>IF(AND('Mapa DIGSA'!$AD$56="Alta",'Mapa DIGSA'!$AF$56="Leve"),CONCATENATE("R8C",'Mapa DIGSA'!$T$56),"")</f>
        <v/>
      </c>
      <c r="M23" s="62" t="str">
        <f>IF(AND('Mapa DIGSA'!$AD$57="Alta",'Mapa DIGSA'!$AF$57="Leve"),CONCATENATE("R8C",'Mapa DIGSA'!$T$57),"")</f>
        <v/>
      </c>
      <c r="N23" s="62" t="str">
        <f>IF(AND('Mapa DIGSA'!$AD$58="Alta",'Mapa DIGSA'!$AF$58="Leve"),CONCATENATE("R8C",'Mapa DIGSA'!$T$58),"")</f>
        <v/>
      </c>
      <c r="O23" s="63" t="str">
        <f>IF(AND('Mapa DIGSA'!$AD$59="Alta",'Mapa DIGSA'!$AF$59="Leve"),CONCATENATE("R8C",'Mapa DIGSA'!$T$59),"")</f>
        <v/>
      </c>
      <c r="P23" s="61" t="str">
        <f>IF(AND('Mapa DIGSA'!$AD$54="Alta",'Mapa DIGSA'!$AF$54="Menor"),CONCATENATE("R8C",'Mapa DIGSA'!$T$54),"")</f>
        <v/>
      </c>
      <c r="Q23" s="62" t="str">
        <f>IF(AND('Mapa DIGSA'!$AD$55="Alta",'Mapa DIGSA'!$AF$55="Menor"),CONCATENATE("R8C",'Mapa DIGSA'!$T$55),"")</f>
        <v/>
      </c>
      <c r="R23" s="62" t="str">
        <f>IF(AND('Mapa DIGSA'!$AD$56="Alta",'Mapa DIGSA'!$AF$56="Menor"),CONCATENATE("R8C",'Mapa DIGSA'!$T$56),"")</f>
        <v/>
      </c>
      <c r="S23" s="62" t="str">
        <f>IF(AND('Mapa DIGSA'!$AD$57="Alta",'Mapa DIGSA'!$AF$57="Menor"),CONCATENATE("R8C",'Mapa DIGSA'!$T$57),"")</f>
        <v/>
      </c>
      <c r="T23" s="62" t="str">
        <f>IF(AND('Mapa DIGSA'!$AD$58="Alta",'Mapa DIGSA'!$AF$58="Menor"),CONCATENATE("R8C",'Mapa DIGSA'!$T$58),"")</f>
        <v/>
      </c>
      <c r="U23" s="63" t="str">
        <f>IF(AND('Mapa DIGSA'!$AD$59="Alta",'Mapa DIGSA'!$AF$59="Menor"),CONCATENATE("R8C",'Mapa DIGSA'!$T$59),"")</f>
        <v/>
      </c>
      <c r="V23" s="45" t="str">
        <f>IF(AND('Mapa DIGSA'!$AD$54="Alta",'Mapa DIGSA'!$AF$54="Moderado"),CONCATENATE("R8C",'Mapa DIGSA'!$T$54),"")</f>
        <v/>
      </c>
      <c r="W23" s="46" t="str">
        <f>IF(AND('Mapa DIGSA'!$AD$55="Alta",'Mapa DIGSA'!$AF$55="Moderado"),CONCATENATE("R8C",'Mapa DIGSA'!$T$55),"")</f>
        <v/>
      </c>
      <c r="X23" s="51" t="str">
        <f>IF(AND('Mapa DIGSA'!$AD$56="Alta",'Mapa DIGSA'!$AF$56="Moderado"),CONCATENATE("R8C",'Mapa DIGSA'!$T$56),"")</f>
        <v/>
      </c>
      <c r="Y23" s="51" t="str">
        <f>IF(AND('Mapa DIGSA'!$AD$57="Alta",'Mapa DIGSA'!$AF$57="Moderado"),CONCATENATE("R8C",'Mapa DIGSA'!$T$57),"")</f>
        <v/>
      </c>
      <c r="Z23" s="51" t="str">
        <f>IF(AND('Mapa DIGSA'!$AD$58="Alta",'Mapa DIGSA'!$AF$58="Moderado"),CONCATENATE("R8C",'Mapa DIGSA'!$T$58),"")</f>
        <v/>
      </c>
      <c r="AA23" s="47" t="str">
        <f>IF(AND('Mapa DIGSA'!$AD$59="Alta",'Mapa DIGSA'!$AF$59="Moderado"),CONCATENATE("R8C",'Mapa DIGSA'!$T$59),"")</f>
        <v/>
      </c>
      <c r="AB23" s="45" t="str">
        <f>IF(AND('Mapa DIGSA'!$AD$54="Alta",'Mapa DIGSA'!$AF$54="Mayor"),CONCATENATE("R8C",'Mapa DIGSA'!$T$54),"")</f>
        <v/>
      </c>
      <c r="AC23" s="46" t="str">
        <f>IF(AND('Mapa DIGSA'!$AD$55="Alta",'Mapa DIGSA'!$AF$55="Mayor"),CONCATENATE("R8C",'Mapa DIGSA'!$T$55),"")</f>
        <v/>
      </c>
      <c r="AD23" s="51" t="str">
        <f>IF(AND('Mapa DIGSA'!$AD$56="Alta",'Mapa DIGSA'!$AF$56="Mayor"),CONCATENATE("R8C",'Mapa DIGSA'!$T$56),"")</f>
        <v/>
      </c>
      <c r="AE23" s="51" t="str">
        <f>IF(AND('Mapa DIGSA'!$AD$57="Alta",'Mapa DIGSA'!$AF$57="Mayor"),CONCATENATE("R8C",'Mapa DIGSA'!$T$57),"")</f>
        <v/>
      </c>
      <c r="AF23" s="51" t="str">
        <f>IF(AND('Mapa DIGSA'!$AD$58="Alta",'Mapa DIGSA'!$AF$58="Mayor"),CONCATENATE("R8C",'Mapa DIGSA'!$T$58),"")</f>
        <v/>
      </c>
      <c r="AG23" s="47" t="str">
        <f>IF(AND('Mapa DIGSA'!$AD$59="Alta",'Mapa DIGSA'!$AF$59="Mayor"),CONCATENATE("R8C",'Mapa DIGSA'!$T$59),"")</f>
        <v/>
      </c>
      <c r="AH23" s="48" t="str">
        <f>IF(AND('Mapa DIGSA'!$AD$54="Alta",'Mapa DIGSA'!$AF$54="Catastrófico"),CONCATENATE("R8C",'Mapa DIGSA'!$T$54),"")</f>
        <v/>
      </c>
      <c r="AI23" s="49" t="str">
        <f>IF(AND('Mapa DIGSA'!$AD$55="Alta",'Mapa DIGSA'!$AF$55="Catastrófico"),CONCATENATE("R8C",'Mapa DIGSA'!$T$55),"")</f>
        <v/>
      </c>
      <c r="AJ23" s="49" t="str">
        <f>IF(AND('Mapa DIGSA'!$AD$56="Alta",'Mapa DIGSA'!$AF$56="Catastrófico"),CONCATENATE("R8C",'Mapa DIGSA'!$T$56),"")</f>
        <v/>
      </c>
      <c r="AK23" s="49" t="str">
        <f>IF(AND('Mapa DIGSA'!$AD$57="Alta",'Mapa DIGSA'!$AF$57="Catastrófico"),CONCATENATE("R8C",'Mapa DIGSA'!$T$57),"")</f>
        <v/>
      </c>
      <c r="AL23" s="49" t="str">
        <f>IF(AND('Mapa DIGSA'!$AD$58="Alta",'Mapa DIGSA'!$AF$58="Catastrófico"),CONCATENATE("R8C",'Mapa DIGSA'!$T$58),"")</f>
        <v/>
      </c>
      <c r="AM23" s="50" t="str">
        <f>IF(AND('Mapa DIGSA'!$AD$59="Alta",'Mapa DIGSA'!$AF$59="Catastrófico"),CONCATENATE("R8C",'Mapa DIGSA'!$T$59),"")</f>
        <v/>
      </c>
      <c r="AN23" s="10"/>
      <c r="AO23" s="394"/>
      <c r="AP23" s="395"/>
      <c r="AQ23" s="395"/>
      <c r="AR23" s="395"/>
      <c r="AS23" s="395"/>
      <c r="AT23" s="396"/>
      <c r="AU23" s="10"/>
      <c r="AV23" s="10"/>
      <c r="AW23" s="10"/>
      <c r="AX23" s="10"/>
      <c r="AY23" s="10"/>
      <c r="AZ23" s="10"/>
      <c r="BA23" s="10"/>
      <c r="BB23" s="10"/>
      <c r="BC23" s="10"/>
      <c r="BD23" s="10"/>
      <c r="BE23" s="10"/>
      <c r="BF23" s="10"/>
      <c r="BG23" s="10"/>
      <c r="BH23" s="10"/>
      <c r="BI23" s="10"/>
      <c r="BJ23" s="10"/>
      <c r="BK23" s="10"/>
      <c r="BL23" s="10"/>
      <c r="BM23" s="10"/>
      <c r="BN23" s="10"/>
      <c r="BO23" s="10"/>
      <c r="BP23" s="10"/>
      <c r="BQ23" s="10"/>
      <c r="BR23" s="10"/>
      <c r="BS23" s="10"/>
      <c r="BT23" s="10"/>
      <c r="BU23" s="10"/>
      <c r="BV23" s="10"/>
      <c r="BW23" s="10"/>
      <c r="BX23" s="10"/>
    </row>
    <row r="24" spans="1:76" ht="15" customHeight="1" x14ac:dyDescent="0.25">
      <c r="A24" s="10"/>
      <c r="B24" s="343"/>
      <c r="C24" s="343"/>
      <c r="D24" s="344"/>
      <c r="E24" s="384"/>
      <c r="F24" s="385"/>
      <c r="G24" s="385"/>
      <c r="H24" s="385"/>
      <c r="I24" s="401"/>
      <c r="J24" s="61" t="str">
        <f>IF(AND('Mapa DIGSA'!$AD$60="Alta",'Mapa DIGSA'!$AF$60="Leve"),CONCATENATE("R9C",'Mapa DIGSA'!$T$60),"")</f>
        <v/>
      </c>
      <c r="K24" s="62" t="str">
        <f>IF(AND('Mapa DIGSA'!$AD$61="Alta",'Mapa DIGSA'!$AF$61="Leve"),CONCATENATE("R9C",'Mapa DIGSA'!$T$61),"")</f>
        <v/>
      </c>
      <c r="L24" s="62" t="str">
        <f>IF(AND('Mapa DIGSA'!$AD$62="Alta",'Mapa DIGSA'!$AF$62="Leve"),CONCATENATE("R9C",'Mapa DIGSA'!$T$62),"")</f>
        <v/>
      </c>
      <c r="M24" s="62" t="str">
        <f>IF(AND('Mapa DIGSA'!$AD$63="Alta",'Mapa DIGSA'!$AF$63="Leve"),CONCATENATE("R9C",'Mapa DIGSA'!$T$63),"")</f>
        <v/>
      </c>
      <c r="N24" s="62" t="str">
        <f>IF(AND('Mapa DIGSA'!$AD$64="Alta",'Mapa DIGSA'!$AF$64="Leve"),CONCATENATE("R9C",'Mapa DIGSA'!$T$64),"")</f>
        <v/>
      </c>
      <c r="O24" s="63" t="str">
        <f>IF(AND('Mapa DIGSA'!$AD$65="Alta",'Mapa DIGSA'!$AF$65="Leve"),CONCATENATE("R9C",'Mapa DIGSA'!$T$65),"")</f>
        <v/>
      </c>
      <c r="P24" s="61" t="str">
        <f>IF(AND('Mapa DIGSA'!$AD$60="Alta",'Mapa DIGSA'!$AF$60="Menor"),CONCATENATE("R9C",'Mapa DIGSA'!$T$60),"")</f>
        <v/>
      </c>
      <c r="Q24" s="62" t="str">
        <f>IF(AND('Mapa DIGSA'!$AD$61="Alta",'Mapa DIGSA'!$AF$61="Menor"),CONCATENATE("R9C",'Mapa DIGSA'!$T$61),"")</f>
        <v/>
      </c>
      <c r="R24" s="62" t="str">
        <f>IF(AND('Mapa DIGSA'!$AD$62="Alta",'Mapa DIGSA'!$AF$62="Menor"),CONCATENATE("R9C",'Mapa DIGSA'!$T$62),"")</f>
        <v/>
      </c>
      <c r="S24" s="62" t="str">
        <f>IF(AND('Mapa DIGSA'!$AD$63="Alta",'Mapa DIGSA'!$AF$63="Menor"),CONCATENATE("R9C",'Mapa DIGSA'!$T$63),"")</f>
        <v/>
      </c>
      <c r="T24" s="62" t="str">
        <f>IF(AND('Mapa DIGSA'!$AD$64="Alta",'Mapa DIGSA'!$AF$64="Menor"),CONCATENATE("R9C",'Mapa DIGSA'!$T$64),"")</f>
        <v/>
      </c>
      <c r="U24" s="63" t="str">
        <f>IF(AND('Mapa DIGSA'!$AD$65="Alta",'Mapa DIGSA'!$AF$65="Menor"),CONCATENATE("R9C",'Mapa DIGSA'!$T$65),"")</f>
        <v/>
      </c>
      <c r="V24" s="45" t="str">
        <f>IF(AND('Mapa DIGSA'!$AD$60="Alta",'Mapa DIGSA'!$AF$60="Moderado"),CONCATENATE("R9C",'Mapa DIGSA'!$T$60),"")</f>
        <v/>
      </c>
      <c r="W24" s="46" t="str">
        <f>IF(AND('Mapa DIGSA'!$AD$61="Alta",'Mapa DIGSA'!$AF$61="Moderado"),CONCATENATE("R9C",'Mapa DIGSA'!$T$61),"")</f>
        <v/>
      </c>
      <c r="X24" s="51" t="str">
        <f>IF(AND('Mapa DIGSA'!$AD$62="Alta",'Mapa DIGSA'!$AF$62="Moderado"),CONCATENATE("R9C",'Mapa DIGSA'!$T$62),"")</f>
        <v/>
      </c>
      <c r="Y24" s="51" t="str">
        <f>IF(AND('Mapa DIGSA'!$AD$63="Alta",'Mapa DIGSA'!$AF$63="Moderado"),CONCATENATE("R9C",'Mapa DIGSA'!$T$63),"")</f>
        <v/>
      </c>
      <c r="Z24" s="51" t="str">
        <f>IF(AND('Mapa DIGSA'!$AD$64="Alta",'Mapa DIGSA'!$AF$64="Moderado"),CONCATENATE("R9C",'Mapa DIGSA'!$T$64),"")</f>
        <v/>
      </c>
      <c r="AA24" s="47" t="str">
        <f>IF(AND('Mapa DIGSA'!$AD$65="Alta",'Mapa DIGSA'!$AF$65="Moderado"),CONCATENATE("R9C",'Mapa DIGSA'!$T$65),"")</f>
        <v/>
      </c>
      <c r="AB24" s="45" t="str">
        <f>IF(AND('Mapa DIGSA'!$AD$60="Alta",'Mapa DIGSA'!$AF$60="Mayor"),CONCATENATE("R9C",'Mapa DIGSA'!$T$60),"")</f>
        <v/>
      </c>
      <c r="AC24" s="46" t="str">
        <f>IF(AND('Mapa DIGSA'!$AD$61="Alta",'Mapa DIGSA'!$AF$61="Mayor"),CONCATENATE("R9C",'Mapa DIGSA'!$T$61),"")</f>
        <v/>
      </c>
      <c r="AD24" s="51" t="str">
        <f>IF(AND('Mapa DIGSA'!$AD$62="Alta",'Mapa DIGSA'!$AF$62="Mayor"),CONCATENATE("R9C",'Mapa DIGSA'!$T$62),"")</f>
        <v/>
      </c>
      <c r="AE24" s="51" t="str">
        <f>IF(AND('Mapa DIGSA'!$AD$63="Alta",'Mapa DIGSA'!$AF$63="Mayor"),CONCATENATE("R9C",'Mapa DIGSA'!$T$63),"")</f>
        <v/>
      </c>
      <c r="AF24" s="51" t="str">
        <f>IF(AND('Mapa DIGSA'!$AD$64="Alta",'Mapa DIGSA'!$AF$64="Mayor"),CONCATENATE("R9C",'Mapa DIGSA'!$T$64),"")</f>
        <v/>
      </c>
      <c r="AG24" s="47" t="str">
        <f>IF(AND('Mapa DIGSA'!$AD$65="Alta",'Mapa DIGSA'!$AF$65="Mayor"),CONCATENATE("R9C",'Mapa DIGSA'!$T$65),"")</f>
        <v/>
      </c>
      <c r="AH24" s="48" t="str">
        <f>IF(AND('Mapa DIGSA'!$AD$60="Alta",'Mapa DIGSA'!$AF$60="Catastrófico"),CONCATENATE("R9C",'Mapa DIGSA'!$T$60),"")</f>
        <v/>
      </c>
      <c r="AI24" s="49" t="str">
        <f>IF(AND('Mapa DIGSA'!$AD$61="Alta",'Mapa DIGSA'!$AF$61="Catastrófico"),CONCATENATE("R9C",'Mapa DIGSA'!$T$61),"")</f>
        <v/>
      </c>
      <c r="AJ24" s="49" t="str">
        <f>IF(AND('Mapa DIGSA'!$AD$62="Alta",'Mapa DIGSA'!$AF$62="Catastrófico"),CONCATENATE("R9C",'Mapa DIGSA'!$T$62),"")</f>
        <v/>
      </c>
      <c r="AK24" s="49" t="str">
        <f>IF(AND('Mapa DIGSA'!$AD$63="Alta",'Mapa DIGSA'!$AF$63="Catastrófico"),CONCATENATE("R9C",'Mapa DIGSA'!$T$63),"")</f>
        <v/>
      </c>
      <c r="AL24" s="49" t="str">
        <f>IF(AND('Mapa DIGSA'!$AD$64="Alta",'Mapa DIGSA'!$AF$64="Catastrófico"),CONCATENATE("R9C",'Mapa DIGSA'!$T$64),"")</f>
        <v/>
      </c>
      <c r="AM24" s="50" t="str">
        <f>IF(AND('Mapa DIGSA'!$AD$65="Alta",'Mapa DIGSA'!$AF$65="Catastrófico"),CONCATENATE("R9C",'Mapa DIGSA'!$T$65),"")</f>
        <v/>
      </c>
      <c r="AN24" s="10"/>
      <c r="AO24" s="394"/>
      <c r="AP24" s="395"/>
      <c r="AQ24" s="395"/>
      <c r="AR24" s="395"/>
      <c r="AS24" s="395"/>
      <c r="AT24" s="396"/>
      <c r="AU24" s="10"/>
      <c r="AV24" s="10"/>
      <c r="AW24" s="10"/>
      <c r="AX24" s="10"/>
      <c r="AY24" s="10"/>
      <c r="AZ24" s="10"/>
      <c r="BA24" s="10"/>
      <c r="BB24" s="10"/>
      <c r="BC24" s="10"/>
      <c r="BD24" s="10"/>
      <c r="BE24" s="10"/>
      <c r="BF24" s="10"/>
      <c r="BG24" s="10"/>
      <c r="BH24" s="10"/>
      <c r="BI24" s="10"/>
      <c r="BJ24" s="10"/>
      <c r="BK24" s="10"/>
      <c r="BL24" s="10"/>
      <c r="BM24" s="10"/>
      <c r="BN24" s="10"/>
      <c r="BO24" s="10"/>
      <c r="BP24" s="10"/>
      <c r="BQ24" s="10"/>
      <c r="BR24" s="10"/>
      <c r="BS24" s="10"/>
      <c r="BT24" s="10"/>
      <c r="BU24" s="10"/>
      <c r="BV24" s="10"/>
      <c r="BW24" s="10"/>
      <c r="BX24" s="10"/>
    </row>
    <row r="25" spans="1:76" ht="15.75" customHeight="1" thickBot="1" x14ac:dyDescent="0.3">
      <c r="A25" s="10"/>
      <c r="B25" s="343"/>
      <c r="C25" s="343"/>
      <c r="D25" s="344"/>
      <c r="E25" s="387"/>
      <c r="F25" s="388"/>
      <c r="G25" s="388"/>
      <c r="H25" s="388"/>
      <c r="I25" s="388"/>
      <c r="J25" s="64" t="str">
        <f>IF(AND('Mapa DIGSA'!$AD$66="Alta",'Mapa DIGSA'!$AF$66="Leve"),CONCATENATE("R10C",'Mapa DIGSA'!$T$66),"")</f>
        <v/>
      </c>
      <c r="K25" s="65" t="str">
        <f>IF(AND('Mapa DIGSA'!$AD$67="Alta",'Mapa DIGSA'!$AF$67="Leve"),CONCATENATE("R10C",'Mapa DIGSA'!$T$67),"")</f>
        <v/>
      </c>
      <c r="L25" s="65" t="str">
        <f>IF(AND('Mapa DIGSA'!$AD$68="Alta",'Mapa DIGSA'!$AF$68="Leve"),CONCATENATE("R10C",'Mapa DIGSA'!$T$68),"")</f>
        <v/>
      </c>
      <c r="M25" s="65" t="str">
        <f>IF(AND('Mapa DIGSA'!$AD$69="Alta",'Mapa DIGSA'!$AF$69="Leve"),CONCATENATE("R10C",'Mapa DIGSA'!$T$69),"")</f>
        <v/>
      </c>
      <c r="N25" s="65" t="str">
        <f>IF(AND('Mapa DIGSA'!$AD$70="Alta",'Mapa DIGSA'!$AF$70="Leve"),CONCATENATE("R10C",'Mapa DIGSA'!$T$70),"")</f>
        <v/>
      </c>
      <c r="O25" s="66" t="e">
        <f>IF(AND('Mapa DIGSA'!#REF!="Alta",'Mapa DIGSA'!#REF!="Leve"),CONCATENATE("R10C",'Mapa DIGSA'!#REF!),"")</f>
        <v>#REF!</v>
      </c>
      <c r="P25" s="64" t="str">
        <f>IF(AND('Mapa DIGSA'!$AD$66="Alta",'Mapa DIGSA'!$AF$66="Menor"),CONCATENATE("R10C",'Mapa DIGSA'!$T$66),"")</f>
        <v/>
      </c>
      <c r="Q25" s="65" t="str">
        <f>IF(AND('Mapa DIGSA'!$AD$67="Alta",'Mapa DIGSA'!$AF$67="Menor"),CONCATENATE("R10C",'Mapa DIGSA'!$T$67),"")</f>
        <v/>
      </c>
      <c r="R25" s="65" t="str">
        <f>IF(AND('Mapa DIGSA'!$AD$68="Alta",'Mapa DIGSA'!$AF$68="Menor"),CONCATENATE("R10C",'Mapa DIGSA'!$T$68),"")</f>
        <v/>
      </c>
      <c r="S25" s="65" t="str">
        <f>IF(AND('Mapa DIGSA'!$AD$69="Alta",'Mapa DIGSA'!$AF$69="Menor"),CONCATENATE("R10C",'Mapa DIGSA'!$T$69),"")</f>
        <v/>
      </c>
      <c r="T25" s="65" t="str">
        <f>IF(AND('Mapa DIGSA'!$AD$70="Alta",'Mapa DIGSA'!$AF$70="Menor"),CONCATENATE("R10C",'Mapa DIGSA'!$T$70),"")</f>
        <v/>
      </c>
      <c r="U25" s="66" t="e">
        <f>IF(AND('Mapa DIGSA'!#REF!="Alta",'Mapa DIGSA'!#REF!="Menor"),CONCATENATE("R10C",'Mapa DIGSA'!#REF!),"")</f>
        <v>#REF!</v>
      </c>
      <c r="V25" s="52" t="str">
        <f>IF(AND('Mapa DIGSA'!$AD$66="Alta",'Mapa DIGSA'!$AF$66="Moderado"),CONCATENATE("R10C",'Mapa DIGSA'!$T$66),"")</f>
        <v/>
      </c>
      <c r="W25" s="53" t="str">
        <f>IF(AND('Mapa DIGSA'!$AD$67="Alta",'Mapa DIGSA'!$AF$67="Moderado"),CONCATENATE("R10C",'Mapa DIGSA'!$T$67),"")</f>
        <v/>
      </c>
      <c r="X25" s="53" t="str">
        <f>IF(AND('Mapa DIGSA'!$AD$68="Alta",'Mapa DIGSA'!$AF$68="Moderado"),CONCATENATE("R10C",'Mapa DIGSA'!$T$68),"")</f>
        <v/>
      </c>
      <c r="Y25" s="53" t="str">
        <f>IF(AND('Mapa DIGSA'!$AD$69="Alta",'Mapa DIGSA'!$AF$69="Moderado"),CONCATENATE("R10C",'Mapa DIGSA'!$T$69),"")</f>
        <v/>
      </c>
      <c r="Z25" s="53" t="str">
        <f>IF(AND('Mapa DIGSA'!$AD$70="Alta",'Mapa DIGSA'!$AF$70="Moderado"),CONCATENATE("R10C",'Mapa DIGSA'!$T$70),"")</f>
        <v/>
      </c>
      <c r="AA25" s="54" t="e">
        <f>IF(AND('Mapa DIGSA'!#REF!="Alta",'Mapa DIGSA'!#REF!="Moderado"),CONCATENATE("R10C",'Mapa DIGSA'!#REF!),"")</f>
        <v>#REF!</v>
      </c>
      <c r="AB25" s="52" t="str">
        <f>IF(AND('Mapa DIGSA'!$AD$66="Alta",'Mapa DIGSA'!$AF$66="Mayor"),CONCATENATE("R10C",'Mapa DIGSA'!$T$66),"")</f>
        <v/>
      </c>
      <c r="AC25" s="53" t="str">
        <f>IF(AND('Mapa DIGSA'!$AD$67="Alta",'Mapa DIGSA'!$AF$67="Mayor"),CONCATENATE("R10C",'Mapa DIGSA'!$T$67),"")</f>
        <v/>
      </c>
      <c r="AD25" s="53" t="str">
        <f>IF(AND('Mapa DIGSA'!$AD$68="Alta",'Mapa DIGSA'!$AF$68="Mayor"),CONCATENATE("R10C",'Mapa DIGSA'!$T$68),"")</f>
        <v/>
      </c>
      <c r="AE25" s="53" t="str">
        <f>IF(AND('Mapa DIGSA'!$AD$69="Alta",'Mapa DIGSA'!$AF$69="Mayor"),CONCATENATE("R10C",'Mapa DIGSA'!$T$69),"")</f>
        <v/>
      </c>
      <c r="AF25" s="53" t="str">
        <f>IF(AND('Mapa DIGSA'!$AD$70="Alta",'Mapa DIGSA'!$AF$70="Mayor"),CONCATENATE("R10C",'Mapa DIGSA'!$T$70),"")</f>
        <v/>
      </c>
      <c r="AG25" s="54" t="e">
        <f>IF(AND('Mapa DIGSA'!#REF!="Alta",'Mapa DIGSA'!#REF!="Mayor"),CONCATENATE("R10C",'Mapa DIGSA'!#REF!),"")</f>
        <v>#REF!</v>
      </c>
      <c r="AH25" s="55" t="str">
        <f>IF(AND('Mapa DIGSA'!$AD$66="Alta",'Mapa DIGSA'!$AF$66="Catastrófico"),CONCATENATE("R10C",'Mapa DIGSA'!$T$66),"")</f>
        <v/>
      </c>
      <c r="AI25" s="56" t="str">
        <f>IF(AND('Mapa DIGSA'!$AD$67="Alta",'Mapa DIGSA'!$AF$67="Catastrófico"),CONCATENATE("R10C",'Mapa DIGSA'!$T$67),"")</f>
        <v/>
      </c>
      <c r="AJ25" s="56" t="str">
        <f>IF(AND('Mapa DIGSA'!$AD$68="Alta",'Mapa DIGSA'!$AF$68="Catastrófico"),CONCATENATE("R10C",'Mapa DIGSA'!$T$68),"")</f>
        <v/>
      </c>
      <c r="AK25" s="56" t="str">
        <f>IF(AND('Mapa DIGSA'!$AD$69="Alta",'Mapa DIGSA'!$AF$69="Catastrófico"),CONCATENATE("R10C",'Mapa DIGSA'!$T$69),"")</f>
        <v/>
      </c>
      <c r="AL25" s="56" t="str">
        <f>IF(AND('Mapa DIGSA'!$AD$70="Alta",'Mapa DIGSA'!$AF$70="Catastrófico"),CONCATENATE("R10C",'Mapa DIGSA'!$T$70),"")</f>
        <v/>
      </c>
      <c r="AM25" s="57" t="e">
        <f>IF(AND('Mapa DIGSA'!#REF!="Alta",'Mapa DIGSA'!#REF!="Catastrófico"),CONCATENATE("R10C",'Mapa DIGSA'!#REF!),"")</f>
        <v>#REF!</v>
      </c>
      <c r="AN25" s="10"/>
      <c r="AO25" s="397"/>
      <c r="AP25" s="398"/>
      <c r="AQ25" s="398"/>
      <c r="AR25" s="398"/>
      <c r="AS25" s="398"/>
      <c r="AT25" s="399"/>
      <c r="AU25" s="10"/>
      <c r="AV25" s="10"/>
      <c r="AW25" s="10"/>
      <c r="AX25" s="10"/>
      <c r="AY25" s="10"/>
      <c r="AZ25" s="10"/>
      <c r="BA25" s="10"/>
      <c r="BB25" s="10"/>
      <c r="BC25" s="10"/>
      <c r="BD25" s="10"/>
      <c r="BE25" s="10"/>
      <c r="BF25" s="10"/>
      <c r="BG25" s="10"/>
      <c r="BH25" s="10"/>
      <c r="BI25" s="10"/>
      <c r="BJ25" s="10"/>
      <c r="BK25" s="10"/>
      <c r="BL25" s="10"/>
      <c r="BM25" s="10"/>
      <c r="BN25" s="10"/>
      <c r="BO25" s="10"/>
      <c r="BP25" s="10"/>
      <c r="BQ25" s="10"/>
      <c r="BR25" s="10"/>
      <c r="BS25" s="10"/>
      <c r="BT25" s="10"/>
      <c r="BU25" s="10"/>
      <c r="BV25" s="10"/>
      <c r="BW25" s="10"/>
      <c r="BX25" s="10"/>
    </row>
    <row r="26" spans="1:76" ht="15" customHeight="1" x14ac:dyDescent="0.25">
      <c r="A26" s="10"/>
      <c r="B26" s="343"/>
      <c r="C26" s="343"/>
      <c r="D26" s="344"/>
      <c r="E26" s="381" t="s">
        <v>110</v>
      </c>
      <c r="F26" s="382"/>
      <c r="G26" s="382"/>
      <c r="H26" s="382"/>
      <c r="I26" s="383"/>
      <c r="J26" s="58" t="str">
        <f>IF(AND('Mapa DIGSA'!$AD$12="Media",'Mapa DIGSA'!$AF$12="Leve"),CONCATENATE("R1C",'Mapa DIGSA'!$T$12),"")</f>
        <v/>
      </c>
      <c r="K26" s="59" t="str">
        <f>IF(AND('Mapa DIGSA'!$AD$13="Media",'Mapa DIGSA'!$AF$13="Leve"),CONCATENATE("R1C",'Mapa DIGSA'!$T$13),"")</f>
        <v/>
      </c>
      <c r="L26" s="59" t="str">
        <f>IF(AND('Mapa DIGSA'!$AD$14="Media",'Mapa DIGSA'!$AF$14="Leve"),CONCATENATE("R1C",'Mapa DIGSA'!$T$14),"")</f>
        <v/>
      </c>
      <c r="M26" s="59" t="str">
        <f>IF(AND('Mapa DIGSA'!$AD$15="Media",'Mapa DIGSA'!$AF$15="Leve"),CONCATENATE("R1C",'Mapa DIGSA'!$T$15),"")</f>
        <v/>
      </c>
      <c r="N26" s="59" t="str">
        <f>IF(AND('Mapa DIGSA'!$AD$16="Media",'Mapa DIGSA'!$AF$16="Leve"),CONCATENATE("R1C",'Mapa DIGSA'!$T$16),"")</f>
        <v/>
      </c>
      <c r="O26" s="60" t="str">
        <f>IF(AND('Mapa DIGSA'!$AD$17="Media",'Mapa DIGSA'!$AF$17="Leve"),CONCATENATE("R1C",'Mapa DIGSA'!$T$17),"")</f>
        <v/>
      </c>
      <c r="P26" s="58" t="str">
        <f>IF(AND('Mapa DIGSA'!$AD$12="Media",'Mapa DIGSA'!$AF$12="Menor"),CONCATENATE("R1C",'Mapa DIGSA'!$T$12),"")</f>
        <v/>
      </c>
      <c r="Q26" s="59" t="str">
        <f>IF(AND('Mapa DIGSA'!$AD$13="Media",'Mapa DIGSA'!$AF$13="Menor"),CONCATENATE("R1C",'Mapa DIGSA'!$T$13),"")</f>
        <v/>
      </c>
      <c r="R26" s="59" t="str">
        <f>IF(AND('Mapa DIGSA'!$AD$14="Media",'Mapa DIGSA'!$AF$14="Menor"),CONCATENATE("R1C",'Mapa DIGSA'!$T$14),"")</f>
        <v/>
      </c>
      <c r="S26" s="59" t="str">
        <f>IF(AND('Mapa DIGSA'!$AD$15="Media",'Mapa DIGSA'!$AF$15="Menor"),CONCATENATE("R1C",'Mapa DIGSA'!$T$15),"")</f>
        <v/>
      </c>
      <c r="T26" s="59" t="str">
        <f>IF(AND('Mapa DIGSA'!$AD$16="Media",'Mapa DIGSA'!$AF$16="Menor"),CONCATENATE("R1C",'Mapa DIGSA'!$T$16),"")</f>
        <v/>
      </c>
      <c r="U26" s="60" t="str">
        <f>IF(AND('Mapa DIGSA'!$AD$17="Media",'Mapa DIGSA'!$AF$17="Menor"),CONCATENATE("R1C",'Mapa DIGSA'!$T$17),"")</f>
        <v/>
      </c>
      <c r="V26" s="58" t="str">
        <f>IF(AND('Mapa DIGSA'!$AD$12="Media",'Mapa DIGSA'!$AF$12="Moderado"),CONCATENATE("R1C",'Mapa DIGSA'!$T$12),"")</f>
        <v/>
      </c>
      <c r="W26" s="59" t="str">
        <f>IF(AND('Mapa DIGSA'!$AD$13="Media",'Mapa DIGSA'!$AF$13="Moderado"),CONCATENATE("R1C",'Mapa DIGSA'!$T$13),"")</f>
        <v/>
      </c>
      <c r="X26" s="59" t="str">
        <f>IF(AND('Mapa DIGSA'!$AD$14="Media",'Mapa DIGSA'!$AF$14="Moderado"),CONCATENATE("R1C",'Mapa DIGSA'!$T$14),"")</f>
        <v/>
      </c>
      <c r="Y26" s="59" t="str">
        <f>IF(AND('Mapa DIGSA'!$AD$15="Media",'Mapa DIGSA'!$AF$15="Moderado"),CONCATENATE("R1C",'Mapa DIGSA'!$T$15),"")</f>
        <v/>
      </c>
      <c r="Z26" s="59" t="str">
        <f>IF(AND('Mapa DIGSA'!$AD$16="Media",'Mapa DIGSA'!$AF$16="Moderado"),CONCATENATE("R1C",'Mapa DIGSA'!$T$16),"")</f>
        <v/>
      </c>
      <c r="AA26" s="60" t="str">
        <f>IF(AND('Mapa DIGSA'!$AD$17="Media",'Mapa DIGSA'!$AF$17="Moderado"),CONCATENATE("R1C",'Mapa DIGSA'!$T$17),"")</f>
        <v/>
      </c>
      <c r="AB26" s="39" t="str">
        <f>IF(AND('Mapa DIGSA'!$AD$12="Media",'Mapa DIGSA'!$AF$12="Mayor"),CONCATENATE("R1C",'Mapa DIGSA'!$T$12),"")</f>
        <v/>
      </c>
      <c r="AC26" s="40" t="str">
        <f>IF(AND('Mapa DIGSA'!$AD$13="Media",'Mapa DIGSA'!$AF$13="Mayor"),CONCATENATE("R1C",'Mapa DIGSA'!$T$13),"")</f>
        <v/>
      </c>
      <c r="AD26" s="40" t="str">
        <f>IF(AND('Mapa DIGSA'!$AD$14="Media",'Mapa DIGSA'!$AF$14="Mayor"),CONCATENATE("R1C",'Mapa DIGSA'!$T$14),"")</f>
        <v/>
      </c>
      <c r="AE26" s="40" t="str">
        <f>IF(AND('Mapa DIGSA'!$AD$15="Media",'Mapa DIGSA'!$AF$15="Mayor"),CONCATENATE("R1C",'Mapa DIGSA'!$T$15),"")</f>
        <v/>
      </c>
      <c r="AF26" s="40" t="str">
        <f>IF(AND('Mapa DIGSA'!$AD$16="Media",'Mapa DIGSA'!$AF$16="Mayor"),CONCATENATE("R1C",'Mapa DIGSA'!$T$16),"")</f>
        <v/>
      </c>
      <c r="AG26" s="41" t="str">
        <f>IF(AND('Mapa DIGSA'!$AD$17="Media",'Mapa DIGSA'!$AF$17="Mayor"),CONCATENATE("R1C",'Mapa DIGSA'!$T$17),"")</f>
        <v/>
      </c>
      <c r="AH26" s="42" t="str">
        <f>IF(AND('Mapa DIGSA'!$AD$12="Media",'Mapa DIGSA'!$AF$12="Catastrófico"),CONCATENATE("R1C",'Mapa DIGSA'!$T$12),"")</f>
        <v>R1C1</v>
      </c>
      <c r="AI26" s="43" t="str">
        <f>IF(AND('Mapa DIGSA'!$AD$13="Media",'Mapa DIGSA'!$AF$13="Catastrófico"),CONCATENATE("R1C",'Mapa DIGSA'!$T$13),"")</f>
        <v/>
      </c>
      <c r="AJ26" s="43" t="str">
        <f>IF(AND('Mapa DIGSA'!$AD$14="Media",'Mapa DIGSA'!$AF$14="Catastrófico"),CONCATENATE("R1C",'Mapa DIGSA'!$T$14),"")</f>
        <v/>
      </c>
      <c r="AK26" s="43" t="str">
        <f>IF(AND('Mapa DIGSA'!$AD$15="Media",'Mapa DIGSA'!$AF$15="Catastrófico"),CONCATENATE("R1C",'Mapa DIGSA'!$T$15),"")</f>
        <v/>
      </c>
      <c r="AL26" s="43" t="str">
        <f>IF(AND('Mapa DIGSA'!$AD$16="Media",'Mapa DIGSA'!$AF$16="Catastrófico"),CONCATENATE("R1C",'Mapa DIGSA'!$T$16),"")</f>
        <v/>
      </c>
      <c r="AM26" s="44" t="str">
        <f>IF(AND('Mapa DIGSA'!$AD$17="Media",'Mapa DIGSA'!$AF$17="Catastrófico"),CONCATENATE("R1C",'Mapa DIGSA'!$T$17),"")</f>
        <v/>
      </c>
      <c r="AN26" s="10"/>
      <c r="AO26" s="422" t="s">
        <v>75</v>
      </c>
      <c r="AP26" s="423"/>
      <c r="AQ26" s="423"/>
      <c r="AR26" s="423"/>
      <c r="AS26" s="423"/>
      <c r="AT26" s="424"/>
      <c r="AU26" s="10"/>
      <c r="AV26" s="10"/>
      <c r="AW26" s="10"/>
      <c r="AX26" s="10"/>
      <c r="AY26" s="10"/>
      <c r="AZ26" s="10"/>
      <c r="BA26" s="10"/>
      <c r="BB26" s="10"/>
      <c r="BC26" s="10"/>
      <c r="BD26" s="10"/>
      <c r="BE26" s="10"/>
      <c r="BF26" s="10"/>
      <c r="BG26" s="10"/>
      <c r="BH26" s="10"/>
      <c r="BI26" s="10"/>
      <c r="BJ26" s="10"/>
      <c r="BK26" s="10"/>
      <c r="BL26" s="10"/>
      <c r="BM26" s="10"/>
      <c r="BN26" s="10"/>
      <c r="BO26" s="10"/>
      <c r="BP26" s="10"/>
      <c r="BQ26" s="10"/>
      <c r="BR26" s="10"/>
      <c r="BS26" s="10"/>
      <c r="BT26" s="10"/>
      <c r="BU26" s="10"/>
      <c r="BV26" s="10"/>
      <c r="BW26" s="10"/>
      <c r="BX26" s="10"/>
    </row>
    <row r="27" spans="1:76" ht="15" customHeight="1" x14ac:dyDescent="0.25">
      <c r="A27" s="10"/>
      <c r="B27" s="343"/>
      <c r="C27" s="343"/>
      <c r="D27" s="344"/>
      <c r="E27" s="400"/>
      <c r="F27" s="401"/>
      <c r="G27" s="401"/>
      <c r="H27" s="401"/>
      <c r="I27" s="386"/>
      <c r="J27" s="61" t="str">
        <f>IF(AND('Mapa DIGSA'!$AD$18="Media",'Mapa DIGSA'!$AF$18="Leve"),CONCATENATE("R2C",'Mapa DIGSA'!$T$18),"")</f>
        <v/>
      </c>
      <c r="K27" s="62" t="str">
        <f>IF(AND('Mapa DIGSA'!$AD$19="Media",'Mapa DIGSA'!$AF$19="Leve"),CONCATENATE("R2C",'Mapa DIGSA'!$T$19),"")</f>
        <v/>
      </c>
      <c r="L27" s="62" t="str">
        <f>IF(AND('Mapa DIGSA'!$AD$20="Media",'Mapa DIGSA'!$AF$20="Leve"),CONCATENATE("R2C",'Mapa DIGSA'!$T$20),"")</f>
        <v/>
      </c>
      <c r="M27" s="62" t="str">
        <f>IF(AND('Mapa DIGSA'!$AD$21="Media",'Mapa DIGSA'!$AF$21="Leve"),CONCATENATE("R2C",'Mapa DIGSA'!$T$21),"")</f>
        <v/>
      </c>
      <c r="N27" s="62" t="str">
        <f>IF(AND('Mapa DIGSA'!$AD$22="Media",'Mapa DIGSA'!$AF$22="Leve"),CONCATENATE("R2C",'Mapa DIGSA'!$T$22),"")</f>
        <v/>
      </c>
      <c r="O27" s="63" t="str">
        <f>IF(AND('Mapa DIGSA'!$AD$23="Media",'Mapa DIGSA'!$AF$23="Leve"),CONCATENATE("R2C",'Mapa DIGSA'!$T$23),"")</f>
        <v/>
      </c>
      <c r="P27" s="61" t="str">
        <f>IF(AND('Mapa DIGSA'!$AD$18="Media",'Mapa DIGSA'!$AF$18="Menor"),CONCATENATE("R2C",'Mapa DIGSA'!$T$18),"")</f>
        <v/>
      </c>
      <c r="Q27" s="62" t="str">
        <f>IF(AND('Mapa DIGSA'!$AD$19="Media",'Mapa DIGSA'!$AF$19="Menor"),CONCATENATE("R2C",'Mapa DIGSA'!$T$19),"")</f>
        <v/>
      </c>
      <c r="R27" s="62" t="str">
        <f>IF(AND('Mapa DIGSA'!$AD$20="Media",'Mapa DIGSA'!$AF$20="Menor"),CONCATENATE("R2C",'Mapa DIGSA'!$T$20),"")</f>
        <v/>
      </c>
      <c r="S27" s="62" t="str">
        <f>IF(AND('Mapa DIGSA'!$AD$21="Media",'Mapa DIGSA'!$AF$21="Menor"),CONCATENATE("R2C",'Mapa DIGSA'!$T$21),"")</f>
        <v/>
      </c>
      <c r="T27" s="62" t="str">
        <f>IF(AND('Mapa DIGSA'!$AD$22="Media",'Mapa DIGSA'!$AF$22="Menor"),CONCATENATE("R2C",'Mapa DIGSA'!$T$22),"")</f>
        <v/>
      </c>
      <c r="U27" s="63" t="str">
        <f>IF(AND('Mapa DIGSA'!$AD$23="Media",'Mapa DIGSA'!$AF$23="Menor"),CONCATENATE("R2C",'Mapa DIGSA'!$T$23),"")</f>
        <v/>
      </c>
      <c r="V27" s="61" t="str">
        <f>IF(AND('Mapa DIGSA'!$AD$18="Media",'Mapa DIGSA'!$AF$18="Moderado"),CONCATENATE("R2C",'Mapa DIGSA'!$T$18),"")</f>
        <v/>
      </c>
      <c r="W27" s="62" t="str">
        <f>IF(AND('Mapa DIGSA'!$AD$19="Media",'Mapa DIGSA'!$AF$19="Moderado"),CONCATENATE("R2C",'Mapa DIGSA'!$T$19),"")</f>
        <v/>
      </c>
      <c r="X27" s="62" t="str">
        <f>IF(AND('Mapa DIGSA'!$AD$20="Media",'Mapa DIGSA'!$AF$20="Moderado"),CONCATENATE("R2C",'Mapa DIGSA'!$T$20),"")</f>
        <v/>
      </c>
      <c r="Y27" s="62" t="str">
        <f>IF(AND('Mapa DIGSA'!$AD$21="Media",'Mapa DIGSA'!$AF$21="Moderado"),CONCATENATE("R2C",'Mapa DIGSA'!$T$21),"")</f>
        <v/>
      </c>
      <c r="Z27" s="62" t="str">
        <f>IF(AND('Mapa DIGSA'!$AD$22="Media",'Mapa DIGSA'!$AF$22="Moderado"),CONCATENATE("R2C",'Mapa DIGSA'!$T$22),"")</f>
        <v/>
      </c>
      <c r="AA27" s="63" t="str">
        <f>IF(AND('Mapa DIGSA'!$AD$23="Media",'Mapa DIGSA'!$AF$23="Moderado"),CONCATENATE("R2C",'Mapa DIGSA'!$T$23),"")</f>
        <v/>
      </c>
      <c r="AB27" s="45" t="str">
        <f>IF(AND('Mapa DIGSA'!$AD$18="Media",'Mapa DIGSA'!$AF$18="Mayor"),CONCATENATE("R2C",'Mapa DIGSA'!$T$18),"")</f>
        <v/>
      </c>
      <c r="AC27" s="46" t="str">
        <f>IF(AND('Mapa DIGSA'!$AD$19="Media",'Mapa DIGSA'!$AF$19="Mayor"),CONCATENATE("R2C",'Mapa DIGSA'!$T$19),"")</f>
        <v/>
      </c>
      <c r="AD27" s="46" t="str">
        <f>IF(AND('Mapa DIGSA'!$AD$20="Media",'Mapa DIGSA'!$AF$20="Mayor"),CONCATENATE("R2C",'Mapa DIGSA'!$T$20),"")</f>
        <v/>
      </c>
      <c r="AE27" s="46" t="str">
        <f>IF(AND('Mapa DIGSA'!$AD$21="Media",'Mapa DIGSA'!$AF$21="Mayor"),CONCATENATE("R2C",'Mapa DIGSA'!$T$21),"")</f>
        <v/>
      </c>
      <c r="AF27" s="46" t="str">
        <f>IF(AND('Mapa DIGSA'!$AD$22="Media",'Mapa DIGSA'!$AF$22="Mayor"),CONCATENATE("R2C",'Mapa DIGSA'!$T$22),"")</f>
        <v/>
      </c>
      <c r="AG27" s="47" t="str">
        <f>IF(AND('Mapa DIGSA'!$AD$23="Media",'Mapa DIGSA'!$AF$23="Mayor"),CONCATENATE("R2C",'Mapa DIGSA'!$T$23),"")</f>
        <v/>
      </c>
      <c r="AH27" s="48" t="str">
        <f>IF(AND('Mapa DIGSA'!$AD$18="Media",'Mapa DIGSA'!$AF$18="Catastrófico"),CONCATENATE("R2C",'Mapa DIGSA'!$T$18),"")</f>
        <v>R2C1</v>
      </c>
      <c r="AI27" s="49" t="str">
        <f>IF(AND('Mapa DIGSA'!$AD$19="Media",'Mapa DIGSA'!$AF$19="Catastrófico"),CONCATENATE("R2C",'Mapa DIGSA'!$T$19),"")</f>
        <v/>
      </c>
      <c r="AJ27" s="49" t="str">
        <f>IF(AND('Mapa DIGSA'!$AD$20="Media",'Mapa DIGSA'!$AF$20="Catastrófico"),CONCATENATE("R2C",'Mapa DIGSA'!$T$20),"")</f>
        <v/>
      </c>
      <c r="AK27" s="49" t="str">
        <f>IF(AND('Mapa DIGSA'!$AD$21="Media",'Mapa DIGSA'!$AF$21="Catastrófico"),CONCATENATE("R2C",'Mapa DIGSA'!$T$21),"")</f>
        <v/>
      </c>
      <c r="AL27" s="49" t="str">
        <f>IF(AND('Mapa DIGSA'!$AD$22="Media",'Mapa DIGSA'!$AF$22="Catastrófico"),CONCATENATE("R2C",'Mapa DIGSA'!$T$22),"")</f>
        <v/>
      </c>
      <c r="AM27" s="50" t="str">
        <f>IF(AND('Mapa DIGSA'!$AD$23="Media",'Mapa DIGSA'!$AF$23="Catastrófico"),CONCATENATE("R2C",'Mapa DIGSA'!$T$23),"")</f>
        <v/>
      </c>
      <c r="AN27" s="10"/>
      <c r="AO27" s="425"/>
      <c r="AP27" s="426"/>
      <c r="AQ27" s="426"/>
      <c r="AR27" s="426"/>
      <c r="AS27" s="426"/>
      <c r="AT27" s="427"/>
      <c r="AU27" s="10"/>
      <c r="AV27" s="10"/>
      <c r="AW27" s="10"/>
      <c r="AX27" s="10"/>
      <c r="AY27" s="10"/>
      <c r="AZ27" s="10"/>
      <c r="BA27" s="10"/>
      <c r="BB27" s="10"/>
      <c r="BC27" s="10"/>
      <c r="BD27" s="10"/>
      <c r="BE27" s="10"/>
      <c r="BF27" s="10"/>
      <c r="BG27" s="10"/>
      <c r="BH27" s="10"/>
      <c r="BI27" s="10"/>
      <c r="BJ27" s="10"/>
      <c r="BK27" s="10"/>
      <c r="BL27" s="10"/>
      <c r="BM27" s="10"/>
      <c r="BN27" s="10"/>
      <c r="BO27" s="10"/>
      <c r="BP27" s="10"/>
      <c r="BQ27" s="10"/>
      <c r="BR27" s="10"/>
      <c r="BS27" s="10"/>
      <c r="BT27" s="10"/>
      <c r="BU27" s="10"/>
      <c r="BV27" s="10"/>
      <c r="BW27" s="10"/>
      <c r="BX27" s="10"/>
    </row>
    <row r="28" spans="1:76" ht="15" customHeight="1" x14ac:dyDescent="0.25">
      <c r="A28" s="10"/>
      <c r="B28" s="343"/>
      <c r="C28" s="343"/>
      <c r="D28" s="344"/>
      <c r="E28" s="384"/>
      <c r="F28" s="385"/>
      <c r="G28" s="385"/>
      <c r="H28" s="385"/>
      <c r="I28" s="386"/>
      <c r="J28" s="61" t="str">
        <f>IF(AND('Mapa DIGSA'!$AD$24="Media",'Mapa DIGSA'!$AF$24="Leve"),CONCATENATE("R3C",'Mapa DIGSA'!$T$24),"")</f>
        <v/>
      </c>
      <c r="K28" s="62" t="str">
        <f>IF(AND('Mapa DIGSA'!$AD$25="Media",'Mapa DIGSA'!$AF$25="Leve"),CONCATENATE("R3C",'Mapa DIGSA'!$T$25),"")</f>
        <v/>
      </c>
      <c r="L28" s="62" t="str">
        <f>IF(AND('Mapa DIGSA'!$AD$26="Media",'Mapa DIGSA'!$AF$26="Leve"),CONCATENATE("R3C",'Mapa DIGSA'!$T$26),"")</f>
        <v/>
      </c>
      <c r="M28" s="62" t="str">
        <f>IF(AND('Mapa DIGSA'!$AD$27="Media",'Mapa DIGSA'!$AF$27="Leve"),CONCATENATE("R3C",'Mapa DIGSA'!$T$27),"")</f>
        <v/>
      </c>
      <c r="N28" s="62" t="str">
        <f>IF(AND('Mapa DIGSA'!$AD$28="Media",'Mapa DIGSA'!$AF$28="Leve"),CONCATENATE("R3C",'Mapa DIGSA'!$T$28),"")</f>
        <v/>
      </c>
      <c r="O28" s="63" t="str">
        <f>IF(AND('Mapa DIGSA'!$AD$29="Media",'Mapa DIGSA'!$AF$29="Leve"),CONCATENATE("R3C",'Mapa DIGSA'!$T$29),"")</f>
        <v/>
      </c>
      <c r="P28" s="61" t="str">
        <f>IF(AND('Mapa DIGSA'!$AD$24="Media",'Mapa DIGSA'!$AF$24="Menor"),CONCATENATE("R3C",'Mapa DIGSA'!$T$24),"")</f>
        <v/>
      </c>
      <c r="Q28" s="62" t="str">
        <f>IF(AND('Mapa DIGSA'!$AD$25="Media",'Mapa DIGSA'!$AF$25="Menor"),CONCATENATE("R3C",'Mapa DIGSA'!$T$25),"")</f>
        <v/>
      </c>
      <c r="R28" s="62" t="str">
        <f>IF(AND('Mapa DIGSA'!$AD$26="Media",'Mapa DIGSA'!$AF$26="Menor"),CONCATENATE("R3C",'Mapa DIGSA'!$T$26),"")</f>
        <v/>
      </c>
      <c r="S28" s="62" t="str">
        <f>IF(AND('Mapa DIGSA'!$AD$27="Media",'Mapa DIGSA'!$AF$27="Menor"),CONCATENATE("R3C",'Mapa DIGSA'!$T$27),"")</f>
        <v/>
      </c>
      <c r="T28" s="62" t="str">
        <f>IF(AND('Mapa DIGSA'!$AD$28="Media",'Mapa DIGSA'!$AF$28="Menor"),CONCATENATE("R3C",'Mapa DIGSA'!$T$28),"")</f>
        <v/>
      </c>
      <c r="U28" s="63" t="str">
        <f>IF(AND('Mapa DIGSA'!$AD$29="Media",'Mapa DIGSA'!$AF$29="Menor"),CONCATENATE("R3C",'Mapa DIGSA'!$T$29),"")</f>
        <v/>
      </c>
      <c r="V28" s="61" t="str">
        <f>IF(AND('Mapa DIGSA'!$AD$24="Media",'Mapa DIGSA'!$AF$24="Moderado"),CONCATENATE("R3C",'Mapa DIGSA'!$T$24),"")</f>
        <v/>
      </c>
      <c r="W28" s="62" t="str">
        <f>IF(AND('Mapa DIGSA'!$AD$25="Media",'Mapa DIGSA'!$AF$25="Moderado"),CONCATENATE("R3C",'Mapa DIGSA'!$T$25),"")</f>
        <v/>
      </c>
      <c r="X28" s="62" t="str">
        <f>IF(AND('Mapa DIGSA'!$AD$26="Media",'Mapa DIGSA'!$AF$26="Moderado"),CONCATENATE("R3C",'Mapa DIGSA'!$T$26),"")</f>
        <v/>
      </c>
      <c r="Y28" s="62" t="str">
        <f>IF(AND('Mapa DIGSA'!$AD$27="Media",'Mapa DIGSA'!$AF$27="Moderado"),CONCATENATE("R3C",'Mapa DIGSA'!$T$27),"")</f>
        <v/>
      </c>
      <c r="Z28" s="62" t="str">
        <f>IF(AND('Mapa DIGSA'!$AD$28="Media",'Mapa DIGSA'!$AF$28="Moderado"),CONCATENATE("R3C",'Mapa DIGSA'!$T$28),"")</f>
        <v/>
      </c>
      <c r="AA28" s="63" t="str">
        <f>IF(AND('Mapa DIGSA'!$AD$29="Media",'Mapa DIGSA'!$AF$29="Moderado"),CONCATENATE("R3C",'Mapa DIGSA'!$T$29),"")</f>
        <v/>
      </c>
      <c r="AB28" s="45" t="str">
        <f>IF(AND('Mapa DIGSA'!$AD$24="Media",'Mapa DIGSA'!$AF$24="Mayor"),CONCATENATE("R3C",'Mapa DIGSA'!$T$24),"")</f>
        <v/>
      </c>
      <c r="AC28" s="46" t="str">
        <f>IF(AND('Mapa DIGSA'!$AD$25="Media",'Mapa DIGSA'!$AF$25="Mayor"),CONCATENATE("R3C",'Mapa DIGSA'!$T$25),"")</f>
        <v/>
      </c>
      <c r="AD28" s="46" t="str">
        <f>IF(AND('Mapa DIGSA'!$AD$26="Media",'Mapa DIGSA'!$AF$26="Mayor"),CONCATENATE("R3C",'Mapa DIGSA'!$T$26),"")</f>
        <v/>
      </c>
      <c r="AE28" s="46" t="str">
        <f>IF(AND('Mapa DIGSA'!$AD$27="Media",'Mapa DIGSA'!$AF$27="Mayor"),CONCATENATE("R3C",'Mapa DIGSA'!$T$27),"")</f>
        <v/>
      </c>
      <c r="AF28" s="46" t="str">
        <f>IF(AND('Mapa DIGSA'!$AD$28="Media",'Mapa DIGSA'!$AF$28="Mayor"),CONCATENATE("R3C",'Mapa DIGSA'!$T$28),"")</f>
        <v/>
      </c>
      <c r="AG28" s="47" t="str">
        <f>IF(AND('Mapa DIGSA'!$AD$29="Media",'Mapa DIGSA'!$AF$29="Mayor"),CONCATENATE("R3C",'Mapa DIGSA'!$T$29),"")</f>
        <v/>
      </c>
      <c r="AH28" s="48" t="str">
        <f>IF(AND('Mapa DIGSA'!$AD$24="Media",'Mapa DIGSA'!$AF$24="Catastrófico"),CONCATENATE("R3C",'Mapa DIGSA'!$T$24),"")</f>
        <v>R3C1</v>
      </c>
      <c r="AI28" s="49" t="str">
        <f>IF(AND('Mapa DIGSA'!$AD$25="Media",'Mapa DIGSA'!$AF$25="Catastrófico"),CONCATENATE("R3C",'Mapa DIGSA'!$T$25),"")</f>
        <v>R3C2</v>
      </c>
      <c r="AJ28" s="49" t="str">
        <f>IF(AND('Mapa DIGSA'!$AD$26="Media",'Mapa DIGSA'!$AF$26="Catastrófico"),CONCATENATE("R3C",'Mapa DIGSA'!$T$26),"")</f>
        <v/>
      </c>
      <c r="AK28" s="49" t="str">
        <f>IF(AND('Mapa DIGSA'!$AD$27="Media",'Mapa DIGSA'!$AF$27="Catastrófico"),CONCATENATE("R3C",'Mapa DIGSA'!$T$27),"")</f>
        <v/>
      </c>
      <c r="AL28" s="49" t="str">
        <f>IF(AND('Mapa DIGSA'!$AD$28="Media",'Mapa DIGSA'!$AF$28="Catastrófico"),CONCATENATE("R3C",'Mapa DIGSA'!$T$28),"")</f>
        <v/>
      </c>
      <c r="AM28" s="50" t="str">
        <f>IF(AND('Mapa DIGSA'!$AD$29="Media",'Mapa DIGSA'!$AF$29="Catastrófico"),CONCATENATE("R3C",'Mapa DIGSA'!$T$29),"")</f>
        <v/>
      </c>
      <c r="AN28" s="10"/>
      <c r="AO28" s="425"/>
      <c r="AP28" s="426"/>
      <c r="AQ28" s="426"/>
      <c r="AR28" s="426"/>
      <c r="AS28" s="426"/>
      <c r="AT28" s="427"/>
      <c r="AU28" s="10"/>
      <c r="AV28" s="10"/>
      <c r="AW28" s="10"/>
      <c r="AX28" s="10"/>
      <c r="AY28" s="10"/>
      <c r="AZ28" s="10"/>
      <c r="BA28" s="10"/>
      <c r="BB28" s="10"/>
      <c r="BC28" s="10"/>
      <c r="BD28" s="10"/>
      <c r="BE28" s="10"/>
      <c r="BF28" s="10"/>
      <c r="BG28" s="10"/>
      <c r="BH28" s="10"/>
      <c r="BI28" s="10"/>
      <c r="BJ28" s="10"/>
      <c r="BK28" s="10"/>
      <c r="BL28" s="10"/>
      <c r="BM28" s="10"/>
      <c r="BN28" s="10"/>
      <c r="BO28" s="10"/>
      <c r="BP28" s="10"/>
      <c r="BQ28" s="10"/>
      <c r="BR28" s="10"/>
      <c r="BS28" s="10"/>
      <c r="BT28" s="10"/>
      <c r="BU28" s="10"/>
      <c r="BV28" s="10"/>
      <c r="BW28" s="10"/>
      <c r="BX28" s="10"/>
    </row>
    <row r="29" spans="1:76" ht="15" customHeight="1" x14ac:dyDescent="0.25">
      <c r="A29" s="10"/>
      <c r="B29" s="343"/>
      <c r="C29" s="343"/>
      <c r="D29" s="344"/>
      <c r="E29" s="384"/>
      <c r="F29" s="385"/>
      <c r="G29" s="385"/>
      <c r="H29" s="385"/>
      <c r="I29" s="386"/>
      <c r="J29" s="61" t="str">
        <f>IF(AND('Mapa DIGSA'!$AD$30="Media",'Mapa DIGSA'!$AF$30="Leve"),CONCATENATE("R4C",'Mapa DIGSA'!$T$30),"")</f>
        <v/>
      </c>
      <c r="K29" s="62" t="str">
        <f>IF(AND('Mapa DIGSA'!$AD$31="Media",'Mapa DIGSA'!$AF$31="Leve"),CONCATENATE("R4C",'Mapa DIGSA'!$T$31),"")</f>
        <v/>
      </c>
      <c r="L29" s="62" t="str">
        <f>IF(AND('Mapa DIGSA'!$AD$32="Media",'Mapa DIGSA'!$AF$32="Leve"),CONCATENATE("R4C",'Mapa DIGSA'!$T$32),"")</f>
        <v/>
      </c>
      <c r="M29" s="62" t="str">
        <f>IF(AND('Mapa DIGSA'!$AD$33="Media",'Mapa DIGSA'!$AF$33="Leve"),CONCATENATE("R4C",'Mapa DIGSA'!$T$33),"")</f>
        <v/>
      </c>
      <c r="N29" s="62" t="str">
        <f>IF(AND('Mapa DIGSA'!$AD$34="Media",'Mapa DIGSA'!$AF$34="Leve"),CONCATENATE("R4C",'Mapa DIGSA'!$T$34),"")</f>
        <v/>
      </c>
      <c r="O29" s="63" t="str">
        <f>IF(AND('Mapa DIGSA'!$AD$35="Media",'Mapa DIGSA'!$AF$35="Leve"),CONCATENATE("R4C",'Mapa DIGSA'!$T$35),"")</f>
        <v/>
      </c>
      <c r="P29" s="61" t="str">
        <f>IF(AND('Mapa DIGSA'!$AD$30="Media",'Mapa DIGSA'!$AF$30="Menor"),CONCATENATE("R4C",'Mapa DIGSA'!$T$30),"")</f>
        <v/>
      </c>
      <c r="Q29" s="62" t="str">
        <f>IF(AND('Mapa DIGSA'!$AD$31="Media",'Mapa DIGSA'!$AF$31="Menor"),CONCATENATE("R4C",'Mapa DIGSA'!$T$31),"")</f>
        <v/>
      </c>
      <c r="R29" s="62" t="str">
        <f>IF(AND('Mapa DIGSA'!$AD$32="Media",'Mapa DIGSA'!$AF$32="Menor"),CONCATENATE("R4C",'Mapa DIGSA'!$T$32),"")</f>
        <v/>
      </c>
      <c r="S29" s="62" t="str">
        <f>IF(AND('Mapa DIGSA'!$AD$33="Media",'Mapa DIGSA'!$AF$33="Menor"),CONCATENATE("R4C",'Mapa DIGSA'!$T$33),"")</f>
        <v/>
      </c>
      <c r="T29" s="62" t="str">
        <f>IF(AND('Mapa DIGSA'!$AD$34="Media",'Mapa DIGSA'!$AF$34="Menor"),CONCATENATE("R4C",'Mapa DIGSA'!$T$34),"")</f>
        <v/>
      </c>
      <c r="U29" s="63" t="str">
        <f>IF(AND('Mapa DIGSA'!$AD$35="Media",'Mapa DIGSA'!$AF$35="Menor"),CONCATENATE("R4C",'Mapa DIGSA'!$T$35),"")</f>
        <v/>
      </c>
      <c r="V29" s="61" t="str">
        <f>IF(AND('Mapa DIGSA'!$AD$30="Media",'Mapa DIGSA'!$AF$30="Moderado"),CONCATENATE("R4C",'Mapa DIGSA'!$T$30),"")</f>
        <v/>
      </c>
      <c r="W29" s="62" t="str">
        <f>IF(AND('Mapa DIGSA'!$AD$31="Media",'Mapa DIGSA'!$AF$31="Moderado"),CONCATENATE("R4C",'Mapa DIGSA'!$T$31),"")</f>
        <v/>
      </c>
      <c r="X29" s="62" t="str">
        <f>IF(AND('Mapa DIGSA'!$AD$32="Media",'Mapa DIGSA'!$AF$32="Moderado"),CONCATENATE("R4C",'Mapa DIGSA'!$T$32),"")</f>
        <v/>
      </c>
      <c r="Y29" s="62" t="str">
        <f>IF(AND('Mapa DIGSA'!$AD$33="Media",'Mapa DIGSA'!$AF$33="Moderado"),CONCATENATE("R4C",'Mapa DIGSA'!$T$33),"")</f>
        <v/>
      </c>
      <c r="Z29" s="62" t="str">
        <f>IF(AND('Mapa DIGSA'!$AD$34="Media",'Mapa DIGSA'!$AF$34="Moderado"),CONCATENATE("R4C",'Mapa DIGSA'!$T$34),"")</f>
        <v/>
      </c>
      <c r="AA29" s="63" t="str">
        <f>IF(AND('Mapa DIGSA'!$AD$35="Media",'Mapa DIGSA'!$AF$35="Moderado"),CONCATENATE("R4C",'Mapa DIGSA'!$T$35),"")</f>
        <v/>
      </c>
      <c r="AB29" s="45" t="str">
        <f>IF(AND('Mapa DIGSA'!$AD$30="Media",'Mapa DIGSA'!$AF$30="Mayor"),CONCATENATE("R4C",'Mapa DIGSA'!$T$30),"")</f>
        <v/>
      </c>
      <c r="AC29" s="46" t="str">
        <f>IF(AND('Mapa DIGSA'!$AD$31="Media",'Mapa DIGSA'!$AF$31="Mayor"),CONCATENATE("R4C",'Mapa DIGSA'!$T$31),"")</f>
        <v/>
      </c>
      <c r="AD29" s="51" t="str">
        <f>IF(AND('Mapa DIGSA'!$AD$32="Media",'Mapa DIGSA'!$AF$32="Mayor"),CONCATENATE("R4C",'Mapa DIGSA'!$T$32),"")</f>
        <v/>
      </c>
      <c r="AE29" s="51" t="str">
        <f>IF(AND('Mapa DIGSA'!$AD$33="Media",'Mapa DIGSA'!$AF$33="Mayor"),CONCATENATE("R4C",'Mapa DIGSA'!$T$33),"")</f>
        <v/>
      </c>
      <c r="AF29" s="51" t="str">
        <f>IF(AND('Mapa DIGSA'!$AD$34="Media",'Mapa DIGSA'!$AF$34="Mayor"),CONCATENATE("R4C",'Mapa DIGSA'!$T$34),"")</f>
        <v/>
      </c>
      <c r="AG29" s="47" t="str">
        <f>IF(AND('Mapa DIGSA'!$AD$35="Media",'Mapa DIGSA'!$AF$35="Mayor"),CONCATENATE("R4C",'Mapa DIGSA'!$T$35),"")</f>
        <v/>
      </c>
      <c r="AH29" s="48" t="str">
        <f>IF(AND('Mapa DIGSA'!$AD$30="Media",'Mapa DIGSA'!$AF$30="Catastrófico"),CONCATENATE("R4C",'Mapa DIGSA'!$T$30),"")</f>
        <v/>
      </c>
      <c r="AI29" s="49" t="str">
        <f>IF(AND('Mapa DIGSA'!$AD$31="Media",'Mapa DIGSA'!$AF$31="Catastrófico"),CONCATENATE("R4C",'Mapa DIGSA'!$T$31),"")</f>
        <v/>
      </c>
      <c r="AJ29" s="49" t="str">
        <f>IF(AND('Mapa DIGSA'!$AD$32="Media",'Mapa DIGSA'!$AF$32="Catastrófico"),CONCATENATE("R4C",'Mapa DIGSA'!$T$32),"")</f>
        <v/>
      </c>
      <c r="AK29" s="49" t="str">
        <f>IF(AND('Mapa DIGSA'!$AD$33="Media",'Mapa DIGSA'!$AF$33="Catastrófico"),CONCATENATE("R4C",'Mapa DIGSA'!$T$33),"")</f>
        <v/>
      </c>
      <c r="AL29" s="49" t="str">
        <f>IF(AND('Mapa DIGSA'!$AD$34="Media",'Mapa DIGSA'!$AF$34="Catastrófico"),CONCATENATE("R4C",'Mapa DIGSA'!$T$34),"")</f>
        <v/>
      </c>
      <c r="AM29" s="50" t="str">
        <f>IF(AND('Mapa DIGSA'!$AD$35="Media",'Mapa DIGSA'!$AF$35="Catastrófico"),CONCATENATE("R4C",'Mapa DIGSA'!$T$35),"")</f>
        <v/>
      </c>
      <c r="AN29" s="10"/>
      <c r="AO29" s="425"/>
      <c r="AP29" s="426"/>
      <c r="AQ29" s="426"/>
      <c r="AR29" s="426"/>
      <c r="AS29" s="426"/>
      <c r="AT29" s="427"/>
      <c r="AU29" s="10"/>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row>
    <row r="30" spans="1:76" ht="15" customHeight="1" x14ac:dyDescent="0.25">
      <c r="A30" s="10"/>
      <c r="B30" s="343"/>
      <c r="C30" s="343"/>
      <c r="D30" s="344"/>
      <c r="E30" s="384"/>
      <c r="F30" s="385"/>
      <c r="G30" s="385"/>
      <c r="H30" s="385"/>
      <c r="I30" s="386"/>
      <c r="J30" s="61" t="str">
        <f>IF(AND('Mapa DIGSA'!$AD$36="Media",'Mapa DIGSA'!$AF$36="Leve"),CONCATENATE("R5C",'Mapa DIGSA'!$T$36),"")</f>
        <v/>
      </c>
      <c r="K30" s="62" t="str">
        <f>IF(AND('Mapa DIGSA'!$AD$37="Media",'Mapa DIGSA'!$AF$37="Leve"),CONCATENATE("R5C",'Mapa DIGSA'!$T$37),"")</f>
        <v/>
      </c>
      <c r="L30" s="62" t="str">
        <f>IF(AND('Mapa DIGSA'!$AD$38="Media",'Mapa DIGSA'!$AF$38="Leve"),CONCATENATE("R5C",'Mapa DIGSA'!$T$38),"")</f>
        <v/>
      </c>
      <c r="M30" s="62" t="str">
        <f>IF(AND('Mapa DIGSA'!$AD$39="Media",'Mapa DIGSA'!$AF$39="Leve"),CONCATENATE("R5C",'Mapa DIGSA'!$T$39),"")</f>
        <v/>
      </c>
      <c r="N30" s="62" t="str">
        <f>IF(AND('Mapa DIGSA'!$AD$40="Media",'Mapa DIGSA'!$AF$40="Leve"),CONCATENATE("R5C",'Mapa DIGSA'!$T$40),"")</f>
        <v/>
      </c>
      <c r="O30" s="63" t="str">
        <f>IF(AND('Mapa DIGSA'!$AD$41="Media",'Mapa DIGSA'!$AF$41="Leve"),CONCATENATE("R5C",'Mapa DIGSA'!$T$41),"")</f>
        <v/>
      </c>
      <c r="P30" s="61" t="str">
        <f>IF(AND('Mapa DIGSA'!$AD$36="Media",'Mapa DIGSA'!$AF$36="Menor"),CONCATENATE("R5C",'Mapa DIGSA'!$T$36),"")</f>
        <v/>
      </c>
      <c r="Q30" s="62" t="str">
        <f>IF(AND('Mapa DIGSA'!$AD$37="Media",'Mapa DIGSA'!$AF$37="Menor"),CONCATENATE("R5C",'Mapa DIGSA'!$T$37),"")</f>
        <v/>
      </c>
      <c r="R30" s="62" t="str">
        <f>IF(AND('Mapa DIGSA'!$AD$38="Media",'Mapa DIGSA'!$AF$38="Menor"),CONCATENATE("R5C",'Mapa DIGSA'!$T$38),"")</f>
        <v/>
      </c>
      <c r="S30" s="62" t="str">
        <f>IF(AND('Mapa DIGSA'!$AD$39="Media",'Mapa DIGSA'!$AF$39="Menor"),CONCATENATE("R5C",'Mapa DIGSA'!$T$39),"")</f>
        <v/>
      </c>
      <c r="T30" s="62" t="str">
        <f>IF(AND('Mapa DIGSA'!$AD$40="Media",'Mapa DIGSA'!$AF$40="Menor"),CONCATENATE("R5C",'Mapa DIGSA'!$T$40),"")</f>
        <v/>
      </c>
      <c r="U30" s="63" t="str">
        <f>IF(AND('Mapa DIGSA'!$AD$41="Media",'Mapa DIGSA'!$AF$41="Menor"),CONCATENATE("R5C",'Mapa DIGSA'!$T$41),"")</f>
        <v/>
      </c>
      <c r="V30" s="61" t="str">
        <f>IF(AND('Mapa DIGSA'!$AD$36="Media",'Mapa DIGSA'!$AF$36="Moderado"),CONCATENATE("R5C",'Mapa DIGSA'!$T$36),"")</f>
        <v/>
      </c>
      <c r="W30" s="62" t="str">
        <f>IF(AND('Mapa DIGSA'!$AD$37="Media",'Mapa DIGSA'!$AF$37="Moderado"),CONCATENATE("R5C",'Mapa DIGSA'!$T$37),"")</f>
        <v/>
      </c>
      <c r="X30" s="62" t="str">
        <f>IF(AND('Mapa DIGSA'!$AD$38="Media",'Mapa DIGSA'!$AF$38="Moderado"),CONCATENATE("R5C",'Mapa DIGSA'!$T$38),"")</f>
        <v/>
      </c>
      <c r="Y30" s="62" t="str">
        <f>IF(AND('Mapa DIGSA'!$AD$39="Media",'Mapa DIGSA'!$AF$39="Moderado"),CONCATENATE("R5C",'Mapa DIGSA'!$T$39),"")</f>
        <v/>
      </c>
      <c r="Z30" s="62" t="str">
        <f>IF(AND('Mapa DIGSA'!$AD$40="Media",'Mapa DIGSA'!$AF$40="Moderado"),CONCATENATE("R5C",'Mapa DIGSA'!$T$40),"")</f>
        <v/>
      </c>
      <c r="AA30" s="63" t="str">
        <f>IF(AND('Mapa DIGSA'!$AD$41="Media",'Mapa DIGSA'!$AF$41="Moderado"),CONCATENATE("R5C",'Mapa DIGSA'!$T$41),"")</f>
        <v/>
      </c>
      <c r="AB30" s="45" t="str">
        <f>IF(AND('Mapa DIGSA'!$AD$36="Media",'Mapa DIGSA'!$AF$36="Mayor"),CONCATENATE("R5C",'Mapa DIGSA'!$T$36),"")</f>
        <v/>
      </c>
      <c r="AC30" s="46" t="str">
        <f>IF(AND('Mapa DIGSA'!$AD$37="Media",'Mapa DIGSA'!$AF$37="Mayor"),CONCATENATE("R5C",'Mapa DIGSA'!$T$37),"")</f>
        <v/>
      </c>
      <c r="AD30" s="51" t="str">
        <f>IF(AND('Mapa DIGSA'!$AD$38="Media",'Mapa DIGSA'!$AF$38="Mayor"),CONCATENATE("R5C",'Mapa DIGSA'!$T$38),"")</f>
        <v/>
      </c>
      <c r="AE30" s="51" t="str">
        <f>IF(AND('Mapa DIGSA'!$AD$39="Media",'Mapa DIGSA'!$AF$39="Mayor"),CONCATENATE("R5C",'Mapa DIGSA'!$T$39),"")</f>
        <v/>
      </c>
      <c r="AF30" s="51" t="str">
        <f>IF(AND('Mapa DIGSA'!$AD$40="Media",'Mapa DIGSA'!$AF$40="Mayor"),CONCATENATE("R5C",'Mapa DIGSA'!$T$40),"")</f>
        <v/>
      </c>
      <c r="AG30" s="47" t="str">
        <f>IF(AND('Mapa DIGSA'!$AD$41="Media",'Mapa DIGSA'!$AF$41="Mayor"),CONCATENATE("R5C",'Mapa DIGSA'!$T$41),"")</f>
        <v/>
      </c>
      <c r="AH30" s="48" t="str">
        <f>IF(AND('Mapa DIGSA'!$AD$36="Media",'Mapa DIGSA'!$AF$36="Catastrófico"),CONCATENATE("R5C",'Mapa DIGSA'!$T$36),"")</f>
        <v/>
      </c>
      <c r="AI30" s="49" t="str">
        <f>IF(AND('Mapa DIGSA'!$AD$37="Media",'Mapa DIGSA'!$AF$37="Catastrófico"),CONCATENATE("R5C",'Mapa DIGSA'!$T$37),"")</f>
        <v/>
      </c>
      <c r="AJ30" s="49" t="str">
        <f>IF(AND('Mapa DIGSA'!$AD$38="Media",'Mapa DIGSA'!$AF$38="Catastrófico"),CONCATENATE("R5C",'Mapa DIGSA'!$T$38),"")</f>
        <v/>
      </c>
      <c r="AK30" s="49" t="str">
        <f>IF(AND('Mapa DIGSA'!$AD$39="Media",'Mapa DIGSA'!$AF$39="Catastrófico"),CONCATENATE("R5C",'Mapa DIGSA'!$T$39),"")</f>
        <v/>
      </c>
      <c r="AL30" s="49" t="str">
        <f>IF(AND('Mapa DIGSA'!$AD$40="Media",'Mapa DIGSA'!$AF$40="Catastrófico"),CONCATENATE("R5C",'Mapa DIGSA'!$T$40),"")</f>
        <v/>
      </c>
      <c r="AM30" s="50" t="str">
        <f>IF(AND('Mapa DIGSA'!$AD$41="Media",'Mapa DIGSA'!$AF$41="Catastrófico"),CONCATENATE("R5C",'Mapa DIGSA'!$T$41),"")</f>
        <v/>
      </c>
      <c r="AN30" s="10"/>
      <c r="AO30" s="425"/>
      <c r="AP30" s="426"/>
      <c r="AQ30" s="426"/>
      <c r="AR30" s="426"/>
      <c r="AS30" s="426"/>
      <c r="AT30" s="427"/>
      <c r="AU30" s="10"/>
      <c r="AV30" s="10"/>
      <c r="AW30" s="10"/>
      <c r="AX30" s="10"/>
      <c r="AY30" s="10"/>
      <c r="AZ30" s="10"/>
      <c r="BA30" s="10"/>
      <c r="BB30" s="10"/>
      <c r="BC30" s="10"/>
      <c r="BD30" s="10"/>
      <c r="BE30" s="10"/>
      <c r="BF30" s="10"/>
      <c r="BG30" s="10"/>
      <c r="BH30" s="10"/>
      <c r="BI30" s="10"/>
      <c r="BJ30" s="10"/>
      <c r="BK30" s="10"/>
      <c r="BL30" s="10"/>
      <c r="BM30" s="10"/>
      <c r="BN30" s="10"/>
      <c r="BO30" s="10"/>
      <c r="BP30" s="10"/>
      <c r="BQ30" s="10"/>
      <c r="BR30" s="10"/>
      <c r="BS30" s="10"/>
      <c r="BT30" s="10"/>
      <c r="BU30" s="10"/>
      <c r="BV30" s="10"/>
      <c r="BW30" s="10"/>
      <c r="BX30" s="10"/>
    </row>
    <row r="31" spans="1:76" ht="15" customHeight="1" x14ac:dyDescent="0.25">
      <c r="A31" s="10"/>
      <c r="B31" s="343"/>
      <c r="C31" s="343"/>
      <c r="D31" s="344"/>
      <c r="E31" s="384"/>
      <c r="F31" s="385"/>
      <c r="G31" s="385"/>
      <c r="H31" s="385"/>
      <c r="I31" s="386"/>
      <c r="J31" s="61" t="str">
        <f>IF(AND('Mapa DIGSA'!$AD$42="Media",'Mapa DIGSA'!$AF$42="Leve"),CONCATENATE("R6C",'Mapa DIGSA'!$T$42),"")</f>
        <v/>
      </c>
      <c r="K31" s="62" t="str">
        <f>IF(AND('Mapa DIGSA'!$AD$43="Media",'Mapa DIGSA'!$AF$43="Leve"),CONCATENATE("R6C",'Mapa DIGSA'!$T$43),"")</f>
        <v/>
      </c>
      <c r="L31" s="62" t="str">
        <f>IF(AND('Mapa DIGSA'!$AD$44="Media",'Mapa DIGSA'!$AF$44="Leve"),CONCATENATE("R6C",'Mapa DIGSA'!$T$44),"")</f>
        <v/>
      </c>
      <c r="M31" s="62" t="str">
        <f>IF(AND('Mapa DIGSA'!$AD$45="Media",'Mapa DIGSA'!$AF$45="Leve"),CONCATENATE("R6C",'Mapa DIGSA'!$T$45),"")</f>
        <v/>
      </c>
      <c r="N31" s="62" t="str">
        <f>IF(AND('Mapa DIGSA'!$AD$46="Media",'Mapa DIGSA'!$AF$46="Leve"),CONCATENATE("R6C",'Mapa DIGSA'!$T$46),"")</f>
        <v/>
      </c>
      <c r="O31" s="63" t="str">
        <f>IF(AND('Mapa DIGSA'!$AD$47="Media",'Mapa DIGSA'!$AF$47="Leve"),CONCATENATE("R6C",'Mapa DIGSA'!$T$47),"")</f>
        <v/>
      </c>
      <c r="P31" s="61" t="str">
        <f>IF(AND('Mapa DIGSA'!$AD$42="Media",'Mapa DIGSA'!$AF$42="Menor"),CONCATENATE("R6C",'Mapa DIGSA'!$T$42),"")</f>
        <v/>
      </c>
      <c r="Q31" s="62" t="str">
        <f>IF(AND('Mapa DIGSA'!$AD$43="Media",'Mapa DIGSA'!$AF$43="Menor"),CONCATENATE("R6C",'Mapa DIGSA'!$T$43),"")</f>
        <v/>
      </c>
      <c r="R31" s="62" t="str">
        <f>IF(AND('Mapa DIGSA'!$AD$44="Media",'Mapa DIGSA'!$AF$44="Menor"),CONCATENATE("R6C",'Mapa DIGSA'!$T$44),"")</f>
        <v/>
      </c>
      <c r="S31" s="62" t="str">
        <f>IF(AND('Mapa DIGSA'!$AD$45="Media",'Mapa DIGSA'!$AF$45="Menor"),CONCATENATE("R6C",'Mapa DIGSA'!$T$45),"")</f>
        <v/>
      </c>
      <c r="T31" s="62" t="str">
        <f>IF(AND('Mapa DIGSA'!$AD$46="Media",'Mapa DIGSA'!$AF$46="Menor"),CONCATENATE("R6C",'Mapa DIGSA'!$T$46),"")</f>
        <v/>
      </c>
      <c r="U31" s="63" t="str">
        <f>IF(AND('Mapa DIGSA'!$AD$47="Media",'Mapa DIGSA'!$AF$47="Menor"),CONCATENATE("R6C",'Mapa DIGSA'!$T$47),"")</f>
        <v/>
      </c>
      <c r="V31" s="61" t="str">
        <f>IF(AND('Mapa DIGSA'!$AD$42="Media",'Mapa DIGSA'!$AF$42="Moderado"),CONCATENATE("R6C",'Mapa DIGSA'!$T$42),"")</f>
        <v/>
      </c>
      <c r="W31" s="62" t="str">
        <f>IF(AND('Mapa DIGSA'!$AD$43="Media",'Mapa DIGSA'!$AF$43="Moderado"),CONCATENATE("R6C",'Mapa DIGSA'!$T$43),"")</f>
        <v/>
      </c>
      <c r="X31" s="62" t="str">
        <f>IF(AND('Mapa DIGSA'!$AD$44="Media",'Mapa DIGSA'!$AF$44="Moderado"),CONCATENATE("R6C",'Mapa DIGSA'!$T$44),"")</f>
        <v/>
      </c>
      <c r="Y31" s="62" t="str">
        <f>IF(AND('Mapa DIGSA'!$AD$45="Media",'Mapa DIGSA'!$AF$45="Moderado"),CONCATENATE("R6C",'Mapa DIGSA'!$T$45),"")</f>
        <v/>
      </c>
      <c r="Z31" s="62" t="str">
        <f>IF(AND('Mapa DIGSA'!$AD$46="Media",'Mapa DIGSA'!$AF$46="Moderado"),CONCATENATE("R6C",'Mapa DIGSA'!$T$46),"")</f>
        <v/>
      </c>
      <c r="AA31" s="63" t="str">
        <f>IF(AND('Mapa DIGSA'!$AD$47="Media",'Mapa DIGSA'!$AF$47="Moderado"),CONCATENATE("R6C",'Mapa DIGSA'!$T$47),"")</f>
        <v/>
      </c>
      <c r="AB31" s="45" t="str">
        <f>IF(AND('Mapa DIGSA'!$AD$42="Media",'Mapa DIGSA'!$AF$42="Mayor"),CONCATENATE("R6C",'Mapa DIGSA'!$T$42),"")</f>
        <v/>
      </c>
      <c r="AC31" s="46" t="str">
        <f>IF(AND('Mapa DIGSA'!$AD$43="Media",'Mapa DIGSA'!$AF$43="Mayor"),CONCATENATE("R6C",'Mapa DIGSA'!$T$43),"")</f>
        <v/>
      </c>
      <c r="AD31" s="51" t="str">
        <f>IF(AND('Mapa DIGSA'!$AD$44="Media",'Mapa DIGSA'!$AF$44="Mayor"),CONCATENATE("R6C",'Mapa DIGSA'!$T$44),"")</f>
        <v/>
      </c>
      <c r="AE31" s="51" t="str">
        <f>IF(AND('Mapa DIGSA'!$AD$45="Media",'Mapa DIGSA'!$AF$45="Mayor"),CONCATENATE("R6C",'Mapa DIGSA'!$T$45),"")</f>
        <v/>
      </c>
      <c r="AF31" s="51" t="str">
        <f>IF(AND('Mapa DIGSA'!$AD$46="Media",'Mapa DIGSA'!$AF$46="Mayor"),CONCATENATE("R6C",'Mapa DIGSA'!$T$46),"")</f>
        <v/>
      </c>
      <c r="AG31" s="47" t="str">
        <f>IF(AND('Mapa DIGSA'!$AD$47="Media",'Mapa DIGSA'!$AF$47="Mayor"),CONCATENATE("R6C",'Mapa DIGSA'!$T$47),"")</f>
        <v/>
      </c>
      <c r="AH31" s="48" t="str">
        <f>IF(AND('Mapa DIGSA'!$AD$42="Media",'Mapa DIGSA'!$AF$42="Catastrófico"),CONCATENATE("R6C",'Mapa DIGSA'!$T$42),"")</f>
        <v/>
      </c>
      <c r="AI31" s="49" t="str">
        <f>IF(AND('Mapa DIGSA'!$AD$43="Media",'Mapa DIGSA'!$AF$43="Catastrófico"),CONCATENATE("R6C",'Mapa DIGSA'!$T$43),"")</f>
        <v/>
      </c>
      <c r="AJ31" s="49" t="str">
        <f>IF(AND('Mapa DIGSA'!$AD$44="Media",'Mapa DIGSA'!$AF$44="Catastrófico"),CONCATENATE("R6C",'Mapa DIGSA'!$T$44),"")</f>
        <v/>
      </c>
      <c r="AK31" s="49" t="str">
        <f>IF(AND('Mapa DIGSA'!$AD$45="Media",'Mapa DIGSA'!$AF$45="Catastrófico"),CONCATENATE("R6C",'Mapa DIGSA'!$T$45),"")</f>
        <v/>
      </c>
      <c r="AL31" s="49" t="str">
        <f>IF(AND('Mapa DIGSA'!$AD$46="Media",'Mapa DIGSA'!$AF$46="Catastrófico"),CONCATENATE("R6C",'Mapa DIGSA'!$T$46),"")</f>
        <v/>
      </c>
      <c r="AM31" s="50" t="str">
        <f>IF(AND('Mapa DIGSA'!$AD$47="Media",'Mapa DIGSA'!$AF$47="Catastrófico"),CONCATENATE("R6C",'Mapa DIGSA'!$T$47),"")</f>
        <v/>
      </c>
      <c r="AN31" s="10"/>
      <c r="AO31" s="425"/>
      <c r="AP31" s="426"/>
      <c r="AQ31" s="426"/>
      <c r="AR31" s="426"/>
      <c r="AS31" s="426"/>
      <c r="AT31" s="427"/>
      <c r="AU31" s="10"/>
      <c r="AV31" s="10"/>
      <c r="AW31" s="10"/>
      <c r="AX31" s="10"/>
      <c r="AY31" s="10"/>
      <c r="AZ31" s="10"/>
      <c r="BA31" s="10"/>
      <c r="BB31" s="10"/>
      <c r="BC31" s="10"/>
      <c r="BD31" s="10"/>
      <c r="BE31" s="10"/>
      <c r="BF31" s="10"/>
      <c r="BG31" s="10"/>
      <c r="BH31" s="10"/>
      <c r="BI31" s="10"/>
      <c r="BJ31" s="10"/>
      <c r="BK31" s="10"/>
      <c r="BL31" s="10"/>
      <c r="BM31" s="10"/>
      <c r="BN31" s="10"/>
      <c r="BO31" s="10"/>
      <c r="BP31" s="10"/>
      <c r="BQ31" s="10"/>
      <c r="BR31" s="10"/>
      <c r="BS31" s="10"/>
      <c r="BT31" s="10"/>
      <c r="BU31" s="10"/>
      <c r="BV31" s="10"/>
      <c r="BW31" s="10"/>
      <c r="BX31" s="10"/>
    </row>
    <row r="32" spans="1:76" ht="15" customHeight="1" x14ac:dyDescent="0.25">
      <c r="A32" s="10"/>
      <c r="B32" s="343"/>
      <c r="C32" s="343"/>
      <c r="D32" s="344"/>
      <c r="E32" s="384"/>
      <c r="F32" s="385"/>
      <c r="G32" s="385"/>
      <c r="H32" s="385"/>
      <c r="I32" s="386"/>
      <c r="J32" s="61" t="str">
        <f>IF(AND('Mapa DIGSA'!$AD$48="Media",'Mapa DIGSA'!$AF$48="Leve"),CONCATENATE("R7C",'Mapa DIGSA'!$T$48),"")</f>
        <v/>
      </c>
      <c r="K32" s="62" t="str">
        <f>IF(AND('Mapa DIGSA'!$AD$49="Media",'Mapa DIGSA'!$AF$49="Leve"),CONCATENATE("R7C",'Mapa DIGSA'!$T$49),"")</f>
        <v/>
      </c>
      <c r="L32" s="62" t="str">
        <f>IF(AND('Mapa DIGSA'!$AD$50="Media",'Mapa DIGSA'!$AF$50="Leve"),CONCATENATE("R7C",'Mapa DIGSA'!$T$50),"")</f>
        <v/>
      </c>
      <c r="M32" s="62" t="str">
        <f>IF(AND('Mapa DIGSA'!$AD$51="Media",'Mapa DIGSA'!$AF$51="Leve"),CONCATENATE("R7C",'Mapa DIGSA'!$T$51),"")</f>
        <v/>
      </c>
      <c r="N32" s="62" t="str">
        <f>IF(AND('Mapa DIGSA'!$AD$52="Media",'Mapa DIGSA'!$AF$52="Leve"),CONCATENATE("R7C",'Mapa DIGSA'!$T$52),"")</f>
        <v/>
      </c>
      <c r="O32" s="63" t="str">
        <f>IF(AND('Mapa DIGSA'!$AD$53="Media",'Mapa DIGSA'!$AF$53="Leve"),CONCATENATE("R7C",'Mapa DIGSA'!$T$53),"")</f>
        <v/>
      </c>
      <c r="P32" s="61" t="str">
        <f>IF(AND('Mapa DIGSA'!$AD$48="Media",'Mapa DIGSA'!$AF$48="Menor"),CONCATENATE("R7C",'Mapa DIGSA'!$T$48),"")</f>
        <v/>
      </c>
      <c r="Q32" s="62" t="str">
        <f>IF(AND('Mapa DIGSA'!$AD$49="Media",'Mapa DIGSA'!$AF$49="Menor"),CONCATENATE("R7C",'Mapa DIGSA'!$T$49),"")</f>
        <v/>
      </c>
      <c r="R32" s="62" t="str">
        <f>IF(AND('Mapa DIGSA'!$AD$50="Media",'Mapa DIGSA'!$AF$50="Menor"),CONCATENATE("R7C",'Mapa DIGSA'!$T$50),"")</f>
        <v/>
      </c>
      <c r="S32" s="62" t="str">
        <f>IF(AND('Mapa DIGSA'!$AD$51="Media",'Mapa DIGSA'!$AF$51="Menor"),CONCATENATE("R7C",'Mapa DIGSA'!$T$51),"")</f>
        <v/>
      </c>
      <c r="T32" s="62" t="str">
        <f>IF(AND('Mapa DIGSA'!$AD$52="Media",'Mapa DIGSA'!$AF$52="Menor"),CONCATENATE("R7C",'Mapa DIGSA'!$T$52),"")</f>
        <v/>
      </c>
      <c r="U32" s="63" t="str">
        <f>IF(AND('Mapa DIGSA'!$AD$53="Media",'Mapa DIGSA'!$AF$53="Menor"),CONCATENATE("R7C",'Mapa DIGSA'!$T$53),"")</f>
        <v/>
      </c>
      <c r="V32" s="61" t="str">
        <f>IF(AND('Mapa DIGSA'!$AD$48="Media",'Mapa DIGSA'!$AF$48="Moderado"),CONCATENATE("R7C",'Mapa DIGSA'!$T$48),"")</f>
        <v/>
      </c>
      <c r="W32" s="62" t="str">
        <f>IF(AND('Mapa DIGSA'!$AD$49="Media",'Mapa DIGSA'!$AF$49="Moderado"),CONCATENATE("R7C",'Mapa DIGSA'!$T$49),"")</f>
        <v/>
      </c>
      <c r="X32" s="62" t="str">
        <f>IF(AND('Mapa DIGSA'!$AD$50="Media",'Mapa DIGSA'!$AF$50="Moderado"),CONCATENATE("R7C",'Mapa DIGSA'!$T$50),"")</f>
        <v/>
      </c>
      <c r="Y32" s="62" t="str">
        <f>IF(AND('Mapa DIGSA'!$AD$51="Media",'Mapa DIGSA'!$AF$51="Moderado"),CONCATENATE("R7C",'Mapa DIGSA'!$T$51),"")</f>
        <v/>
      </c>
      <c r="Z32" s="62" t="str">
        <f>IF(AND('Mapa DIGSA'!$AD$52="Media",'Mapa DIGSA'!$AF$52="Moderado"),CONCATENATE("R7C",'Mapa DIGSA'!$T$52),"")</f>
        <v/>
      </c>
      <c r="AA32" s="63" t="str">
        <f>IF(AND('Mapa DIGSA'!$AD$53="Media",'Mapa DIGSA'!$AF$53="Moderado"),CONCATENATE("R7C",'Mapa DIGSA'!$T$53),"")</f>
        <v/>
      </c>
      <c r="AB32" s="45" t="str">
        <f>IF(AND('Mapa DIGSA'!$AD$48="Media",'Mapa DIGSA'!$AF$48="Mayor"),CONCATENATE("R7C",'Mapa DIGSA'!$T$48),"")</f>
        <v/>
      </c>
      <c r="AC32" s="46" t="str">
        <f>IF(AND('Mapa DIGSA'!$AD$49="Media",'Mapa DIGSA'!$AF$49="Mayor"),CONCATENATE("R7C",'Mapa DIGSA'!$T$49),"")</f>
        <v/>
      </c>
      <c r="AD32" s="51" t="str">
        <f>IF(AND('Mapa DIGSA'!$AD$50="Media",'Mapa DIGSA'!$AF$50="Mayor"),CONCATENATE("R7C",'Mapa DIGSA'!$T$50),"")</f>
        <v/>
      </c>
      <c r="AE32" s="51" t="str">
        <f>IF(AND('Mapa DIGSA'!$AD$51="Media",'Mapa DIGSA'!$AF$51="Mayor"),CONCATENATE("R7C",'Mapa DIGSA'!$T$51),"")</f>
        <v/>
      </c>
      <c r="AF32" s="51" t="str">
        <f>IF(AND('Mapa DIGSA'!$AD$52="Media",'Mapa DIGSA'!$AF$52="Mayor"),CONCATENATE("R7C",'Mapa DIGSA'!$T$52),"")</f>
        <v/>
      </c>
      <c r="AG32" s="47" t="str">
        <f>IF(AND('Mapa DIGSA'!$AD$53="Media",'Mapa DIGSA'!$AF$53="Mayor"),CONCATENATE("R7C",'Mapa DIGSA'!$T$53),"")</f>
        <v/>
      </c>
      <c r="AH32" s="48" t="str">
        <f>IF(AND('Mapa DIGSA'!$AD$48="Media",'Mapa DIGSA'!$AF$48="Catastrófico"),CONCATENATE("R7C",'Mapa DIGSA'!$T$48),"")</f>
        <v/>
      </c>
      <c r="AI32" s="49" t="str">
        <f>IF(AND('Mapa DIGSA'!$AD$49="Media",'Mapa DIGSA'!$AF$49="Catastrófico"),CONCATENATE("R7C",'Mapa DIGSA'!$T$49),"")</f>
        <v/>
      </c>
      <c r="AJ32" s="49" t="str">
        <f>IF(AND('Mapa DIGSA'!$AD$50="Media",'Mapa DIGSA'!$AF$50="Catastrófico"),CONCATENATE("R7C",'Mapa DIGSA'!$T$50),"")</f>
        <v/>
      </c>
      <c r="AK32" s="49" t="str">
        <f>IF(AND('Mapa DIGSA'!$AD$51="Media",'Mapa DIGSA'!$AF$51="Catastrófico"),CONCATENATE("R7C",'Mapa DIGSA'!$T$51),"")</f>
        <v/>
      </c>
      <c r="AL32" s="49" t="str">
        <f>IF(AND('Mapa DIGSA'!$AD$52="Media",'Mapa DIGSA'!$AF$52="Catastrófico"),CONCATENATE("R7C",'Mapa DIGSA'!$T$52),"")</f>
        <v/>
      </c>
      <c r="AM32" s="50" t="str">
        <f>IF(AND('Mapa DIGSA'!$AD$53="Media",'Mapa DIGSA'!$AF$53="Catastrófico"),CONCATENATE("R7C",'Mapa DIGSA'!$T$53),"")</f>
        <v/>
      </c>
      <c r="AN32" s="10"/>
      <c r="AO32" s="425"/>
      <c r="AP32" s="426"/>
      <c r="AQ32" s="426"/>
      <c r="AR32" s="426"/>
      <c r="AS32" s="426"/>
      <c r="AT32" s="427"/>
      <c r="AU32" s="10"/>
      <c r="AV32" s="10"/>
      <c r="AW32" s="10"/>
      <c r="AX32" s="10"/>
      <c r="AY32" s="10"/>
      <c r="AZ32" s="10"/>
      <c r="BA32" s="10"/>
      <c r="BB32" s="10"/>
      <c r="BC32" s="10"/>
      <c r="BD32" s="10"/>
      <c r="BE32" s="10"/>
      <c r="BF32" s="10"/>
      <c r="BG32" s="10"/>
      <c r="BH32" s="10"/>
      <c r="BI32" s="10"/>
      <c r="BJ32" s="10"/>
      <c r="BK32" s="10"/>
      <c r="BL32" s="10"/>
      <c r="BM32" s="10"/>
      <c r="BN32" s="10"/>
      <c r="BO32" s="10"/>
      <c r="BP32" s="10"/>
      <c r="BQ32" s="10"/>
      <c r="BR32" s="10"/>
      <c r="BS32" s="10"/>
      <c r="BT32" s="10"/>
      <c r="BU32" s="10"/>
      <c r="BV32" s="10"/>
      <c r="BW32" s="10"/>
      <c r="BX32" s="10"/>
    </row>
    <row r="33" spans="1:80" ht="15" customHeight="1" x14ac:dyDescent="0.25">
      <c r="A33" s="10"/>
      <c r="B33" s="343"/>
      <c r="C33" s="343"/>
      <c r="D33" s="344"/>
      <c r="E33" s="384"/>
      <c r="F33" s="385"/>
      <c r="G33" s="385"/>
      <c r="H33" s="385"/>
      <c r="I33" s="386"/>
      <c r="J33" s="61" t="str">
        <f>IF(AND('Mapa DIGSA'!$AD$54="Media",'Mapa DIGSA'!$AF$54="Leve"),CONCATENATE("R8C",'Mapa DIGSA'!$T$54),"")</f>
        <v/>
      </c>
      <c r="K33" s="62" t="str">
        <f>IF(AND('Mapa DIGSA'!$AD$55="Media",'Mapa DIGSA'!$AF$55="Leve"),CONCATENATE("R8C",'Mapa DIGSA'!$T$55),"")</f>
        <v/>
      </c>
      <c r="L33" s="62" t="str">
        <f>IF(AND('Mapa DIGSA'!$AD$56="Media",'Mapa DIGSA'!$AF$56="Leve"),CONCATENATE("R8C",'Mapa DIGSA'!$T$56),"")</f>
        <v/>
      </c>
      <c r="M33" s="62" t="str">
        <f>IF(AND('Mapa DIGSA'!$AD$57="Media",'Mapa DIGSA'!$AF$57="Leve"),CONCATENATE("R8C",'Mapa DIGSA'!$T$57),"")</f>
        <v/>
      </c>
      <c r="N33" s="62" t="str">
        <f>IF(AND('Mapa DIGSA'!$AD$58="Media",'Mapa DIGSA'!$AF$58="Leve"),CONCATENATE("R8C",'Mapa DIGSA'!$T$58),"")</f>
        <v/>
      </c>
      <c r="O33" s="63" t="str">
        <f>IF(AND('Mapa DIGSA'!$AD$59="Media",'Mapa DIGSA'!$AF$59="Leve"),CONCATENATE("R8C",'Mapa DIGSA'!$T$59),"")</f>
        <v/>
      </c>
      <c r="P33" s="61" t="str">
        <f>IF(AND('Mapa DIGSA'!$AD$54="Media",'Mapa DIGSA'!$AF$54="Menor"),CONCATENATE("R8C",'Mapa DIGSA'!$T$54),"")</f>
        <v/>
      </c>
      <c r="Q33" s="62" t="str">
        <f>IF(AND('Mapa DIGSA'!$AD$55="Media",'Mapa DIGSA'!$AF$55="Menor"),CONCATENATE("R8C",'Mapa DIGSA'!$T$55),"")</f>
        <v/>
      </c>
      <c r="R33" s="62" t="str">
        <f>IF(AND('Mapa DIGSA'!$AD$56="Media",'Mapa DIGSA'!$AF$56="Menor"),CONCATENATE("R8C",'Mapa DIGSA'!$T$56),"")</f>
        <v/>
      </c>
      <c r="S33" s="62" t="str">
        <f>IF(AND('Mapa DIGSA'!$AD$57="Media",'Mapa DIGSA'!$AF$57="Menor"),CONCATENATE("R8C",'Mapa DIGSA'!$T$57),"")</f>
        <v/>
      </c>
      <c r="T33" s="62" t="str">
        <f>IF(AND('Mapa DIGSA'!$AD$58="Media",'Mapa DIGSA'!$AF$58="Menor"),CONCATENATE("R8C",'Mapa DIGSA'!$T$58),"")</f>
        <v/>
      </c>
      <c r="U33" s="63" t="str">
        <f>IF(AND('Mapa DIGSA'!$AD$59="Media",'Mapa DIGSA'!$AF$59="Menor"),CONCATENATE("R8C",'Mapa DIGSA'!$T$59),"")</f>
        <v/>
      </c>
      <c r="V33" s="61" t="str">
        <f>IF(AND('Mapa DIGSA'!$AD$54="Media",'Mapa DIGSA'!$AF$54="Moderado"),CONCATENATE("R8C",'Mapa DIGSA'!$T$54),"")</f>
        <v/>
      </c>
      <c r="W33" s="62" t="str">
        <f>IF(AND('Mapa DIGSA'!$AD$55="Media",'Mapa DIGSA'!$AF$55="Moderado"),CONCATENATE("R8C",'Mapa DIGSA'!$T$55),"")</f>
        <v/>
      </c>
      <c r="X33" s="62" t="str">
        <f>IF(AND('Mapa DIGSA'!$AD$56="Media",'Mapa DIGSA'!$AF$56="Moderado"),CONCATENATE("R8C",'Mapa DIGSA'!$T$56),"")</f>
        <v/>
      </c>
      <c r="Y33" s="62" t="str">
        <f>IF(AND('Mapa DIGSA'!$AD$57="Media",'Mapa DIGSA'!$AF$57="Moderado"),CONCATENATE("R8C",'Mapa DIGSA'!$T$57),"")</f>
        <v/>
      </c>
      <c r="Z33" s="62" t="str">
        <f>IF(AND('Mapa DIGSA'!$AD$58="Media",'Mapa DIGSA'!$AF$58="Moderado"),CONCATENATE("R8C",'Mapa DIGSA'!$T$58),"")</f>
        <v/>
      </c>
      <c r="AA33" s="63" t="str">
        <f>IF(AND('Mapa DIGSA'!$AD$59="Media",'Mapa DIGSA'!$AF$59="Moderado"),CONCATENATE("R8C",'Mapa DIGSA'!$T$59),"")</f>
        <v/>
      </c>
      <c r="AB33" s="45" t="str">
        <f>IF(AND('Mapa DIGSA'!$AD$54="Media",'Mapa DIGSA'!$AF$54="Mayor"),CONCATENATE("R8C",'Mapa DIGSA'!$T$54),"")</f>
        <v/>
      </c>
      <c r="AC33" s="46" t="str">
        <f>IF(AND('Mapa DIGSA'!$AD$55="Media",'Mapa DIGSA'!$AF$55="Mayor"),CONCATENATE("R8C",'Mapa DIGSA'!$T$55),"")</f>
        <v/>
      </c>
      <c r="AD33" s="51" t="str">
        <f>IF(AND('Mapa DIGSA'!$AD$56="Media",'Mapa DIGSA'!$AF$56="Mayor"),CONCATENATE("R8C",'Mapa DIGSA'!$T$56),"")</f>
        <v/>
      </c>
      <c r="AE33" s="51" t="str">
        <f>IF(AND('Mapa DIGSA'!$AD$57="Media",'Mapa DIGSA'!$AF$57="Mayor"),CONCATENATE("R8C",'Mapa DIGSA'!$T$57),"")</f>
        <v/>
      </c>
      <c r="AF33" s="51" t="str">
        <f>IF(AND('Mapa DIGSA'!$AD$58="Media",'Mapa DIGSA'!$AF$58="Mayor"),CONCATENATE("R8C",'Mapa DIGSA'!$T$58),"")</f>
        <v/>
      </c>
      <c r="AG33" s="47" t="str">
        <f>IF(AND('Mapa DIGSA'!$AD$59="Media",'Mapa DIGSA'!$AF$59="Mayor"),CONCATENATE("R8C",'Mapa DIGSA'!$T$59),"")</f>
        <v/>
      </c>
      <c r="AH33" s="48" t="str">
        <f>IF(AND('Mapa DIGSA'!$AD$54="Media",'Mapa DIGSA'!$AF$54="Catastrófico"),CONCATENATE("R8C",'Mapa DIGSA'!$T$54),"")</f>
        <v>R8C1</v>
      </c>
      <c r="AI33" s="49" t="str">
        <f>IF(AND('Mapa DIGSA'!$AD$55="Media",'Mapa DIGSA'!$AF$55="Catastrófico"),CONCATENATE("R8C",'Mapa DIGSA'!$T$55),"")</f>
        <v/>
      </c>
      <c r="AJ33" s="49" t="str">
        <f>IF(AND('Mapa DIGSA'!$AD$56="Media",'Mapa DIGSA'!$AF$56="Catastrófico"),CONCATENATE("R8C",'Mapa DIGSA'!$T$56),"")</f>
        <v/>
      </c>
      <c r="AK33" s="49" t="str">
        <f>IF(AND('Mapa DIGSA'!$AD$57="Media",'Mapa DIGSA'!$AF$57="Catastrófico"),CONCATENATE("R8C",'Mapa DIGSA'!$T$57),"")</f>
        <v/>
      </c>
      <c r="AL33" s="49" t="str">
        <f>IF(AND('Mapa DIGSA'!$AD$58="Media",'Mapa DIGSA'!$AF$58="Catastrófico"),CONCATENATE("R8C",'Mapa DIGSA'!$T$58),"")</f>
        <v/>
      </c>
      <c r="AM33" s="50" t="str">
        <f>IF(AND('Mapa DIGSA'!$AD$59="Media",'Mapa DIGSA'!$AF$59="Catastrófico"),CONCATENATE("R8C",'Mapa DIGSA'!$T$59),"")</f>
        <v/>
      </c>
      <c r="AN33" s="10"/>
      <c r="AO33" s="425"/>
      <c r="AP33" s="426"/>
      <c r="AQ33" s="426"/>
      <c r="AR33" s="426"/>
      <c r="AS33" s="426"/>
      <c r="AT33" s="427"/>
      <c r="AU33" s="10"/>
      <c r="AV33" s="10"/>
      <c r="AW33" s="10"/>
      <c r="AX33" s="10"/>
      <c r="AY33" s="10"/>
      <c r="AZ33" s="10"/>
      <c r="BA33" s="10"/>
      <c r="BB33" s="10"/>
      <c r="BC33" s="10"/>
      <c r="BD33" s="10"/>
      <c r="BE33" s="10"/>
      <c r="BF33" s="10"/>
      <c r="BG33" s="10"/>
      <c r="BH33" s="10"/>
      <c r="BI33" s="10"/>
      <c r="BJ33" s="10"/>
      <c r="BK33" s="10"/>
      <c r="BL33" s="10"/>
      <c r="BM33" s="10"/>
      <c r="BN33" s="10"/>
      <c r="BO33" s="10"/>
      <c r="BP33" s="10"/>
      <c r="BQ33" s="10"/>
      <c r="BR33" s="10"/>
      <c r="BS33" s="10"/>
      <c r="BT33" s="10"/>
      <c r="BU33" s="10"/>
      <c r="BV33" s="10"/>
      <c r="BW33" s="10"/>
      <c r="BX33" s="10"/>
    </row>
    <row r="34" spans="1:80" ht="15" customHeight="1" x14ac:dyDescent="0.25">
      <c r="A34" s="10"/>
      <c r="B34" s="343"/>
      <c r="C34" s="343"/>
      <c r="D34" s="344"/>
      <c r="E34" s="384"/>
      <c r="F34" s="385"/>
      <c r="G34" s="385"/>
      <c r="H34" s="385"/>
      <c r="I34" s="386"/>
      <c r="J34" s="61" t="str">
        <f>IF(AND('Mapa DIGSA'!$AD$60="Media",'Mapa DIGSA'!$AF$60="Leve"),CONCATENATE("R9C",'Mapa DIGSA'!$T$60),"")</f>
        <v/>
      </c>
      <c r="K34" s="62" t="str">
        <f>IF(AND('Mapa DIGSA'!$AD$61="Media",'Mapa DIGSA'!$AF$61="Leve"),CONCATENATE("R9C",'Mapa DIGSA'!$T$61),"")</f>
        <v/>
      </c>
      <c r="L34" s="62" t="str">
        <f>IF(AND('Mapa DIGSA'!$AD$62="Media",'Mapa DIGSA'!$AF$62="Leve"),CONCATENATE("R9C",'Mapa DIGSA'!$T$62),"")</f>
        <v/>
      </c>
      <c r="M34" s="62" t="str">
        <f>IF(AND('Mapa DIGSA'!$AD$63="Media",'Mapa DIGSA'!$AF$63="Leve"),CONCATENATE("R9C",'Mapa DIGSA'!$T$63),"")</f>
        <v/>
      </c>
      <c r="N34" s="62" t="str">
        <f>IF(AND('Mapa DIGSA'!$AD$64="Media",'Mapa DIGSA'!$AF$64="Leve"),CONCATENATE("R9C",'Mapa DIGSA'!$T$64),"")</f>
        <v/>
      </c>
      <c r="O34" s="63" t="str">
        <f>IF(AND('Mapa DIGSA'!$AD$65="Media",'Mapa DIGSA'!$AF$65="Leve"),CONCATENATE("R9C",'Mapa DIGSA'!$T$65),"")</f>
        <v/>
      </c>
      <c r="P34" s="61" t="str">
        <f>IF(AND('Mapa DIGSA'!$AD$60="Media",'Mapa DIGSA'!$AF$60="Menor"),CONCATENATE("R9C",'Mapa DIGSA'!$T$60),"")</f>
        <v/>
      </c>
      <c r="Q34" s="62" t="str">
        <f>IF(AND('Mapa DIGSA'!$AD$61="Media",'Mapa DIGSA'!$AF$61="Menor"),CONCATENATE("R9C",'Mapa DIGSA'!$T$61),"")</f>
        <v/>
      </c>
      <c r="R34" s="62" t="str">
        <f>IF(AND('Mapa DIGSA'!$AD$62="Media",'Mapa DIGSA'!$AF$62="Menor"),CONCATENATE("R9C",'Mapa DIGSA'!$T$62),"")</f>
        <v/>
      </c>
      <c r="S34" s="62" t="str">
        <f>IF(AND('Mapa DIGSA'!$AD$63="Media",'Mapa DIGSA'!$AF$63="Menor"),CONCATENATE("R9C",'Mapa DIGSA'!$T$63),"")</f>
        <v/>
      </c>
      <c r="T34" s="62" t="str">
        <f>IF(AND('Mapa DIGSA'!$AD$64="Media",'Mapa DIGSA'!$AF$64="Menor"),CONCATENATE("R9C",'Mapa DIGSA'!$T$64),"")</f>
        <v/>
      </c>
      <c r="U34" s="63" t="str">
        <f>IF(AND('Mapa DIGSA'!$AD$65="Media",'Mapa DIGSA'!$AF$65="Menor"),CONCATENATE("R9C",'Mapa DIGSA'!$T$65),"")</f>
        <v/>
      </c>
      <c r="V34" s="61" t="str">
        <f>IF(AND('Mapa DIGSA'!$AD$60="Media",'Mapa DIGSA'!$AF$60="Moderado"),CONCATENATE("R9C",'Mapa DIGSA'!$T$60),"")</f>
        <v/>
      </c>
      <c r="W34" s="62" t="str">
        <f>IF(AND('Mapa DIGSA'!$AD$61="Media",'Mapa DIGSA'!$AF$61="Moderado"),CONCATENATE("R9C",'Mapa DIGSA'!$T$61),"")</f>
        <v/>
      </c>
      <c r="X34" s="62" t="str">
        <f>IF(AND('Mapa DIGSA'!$AD$62="Media",'Mapa DIGSA'!$AF$62="Moderado"),CONCATENATE("R9C",'Mapa DIGSA'!$T$62),"")</f>
        <v/>
      </c>
      <c r="Y34" s="62" t="str">
        <f>IF(AND('Mapa DIGSA'!$AD$63="Media",'Mapa DIGSA'!$AF$63="Moderado"),CONCATENATE("R9C",'Mapa DIGSA'!$T$63),"")</f>
        <v/>
      </c>
      <c r="Z34" s="62" t="str">
        <f>IF(AND('Mapa DIGSA'!$AD$64="Media",'Mapa DIGSA'!$AF$64="Moderado"),CONCATENATE("R9C",'Mapa DIGSA'!$T$64),"")</f>
        <v/>
      </c>
      <c r="AA34" s="63" t="str">
        <f>IF(AND('Mapa DIGSA'!$AD$65="Media",'Mapa DIGSA'!$AF$65="Moderado"),CONCATENATE("R9C",'Mapa DIGSA'!$T$65),"")</f>
        <v/>
      </c>
      <c r="AB34" s="45" t="str">
        <f>IF(AND('Mapa DIGSA'!$AD$60="Media",'Mapa DIGSA'!$AF$60="Mayor"),CONCATENATE("R9C",'Mapa DIGSA'!$T$60),"")</f>
        <v/>
      </c>
      <c r="AC34" s="46" t="str">
        <f>IF(AND('Mapa DIGSA'!$AD$61="Media",'Mapa DIGSA'!$AF$61="Mayor"),CONCATENATE("R9C",'Mapa DIGSA'!$T$61),"")</f>
        <v/>
      </c>
      <c r="AD34" s="51" t="str">
        <f>IF(AND('Mapa DIGSA'!$AD$62="Media",'Mapa DIGSA'!$AF$62="Mayor"),CONCATENATE("R9C",'Mapa DIGSA'!$T$62),"")</f>
        <v/>
      </c>
      <c r="AE34" s="51" t="str">
        <f>IF(AND('Mapa DIGSA'!$AD$63="Media",'Mapa DIGSA'!$AF$63="Mayor"),CONCATENATE("R9C",'Mapa DIGSA'!$T$63),"")</f>
        <v/>
      </c>
      <c r="AF34" s="51" t="str">
        <f>IF(AND('Mapa DIGSA'!$AD$64="Media",'Mapa DIGSA'!$AF$64="Mayor"),CONCATENATE("R9C",'Mapa DIGSA'!$T$64),"")</f>
        <v/>
      </c>
      <c r="AG34" s="47" t="str">
        <f>IF(AND('Mapa DIGSA'!$AD$65="Media",'Mapa DIGSA'!$AF$65="Mayor"),CONCATENATE("R9C",'Mapa DIGSA'!$T$65),"")</f>
        <v/>
      </c>
      <c r="AH34" s="48" t="str">
        <f>IF(AND('Mapa DIGSA'!$AD$60="Media",'Mapa DIGSA'!$AF$60="Catastrófico"),CONCATENATE("R9C",'Mapa DIGSA'!$T$60),"")</f>
        <v/>
      </c>
      <c r="AI34" s="49" t="str">
        <f>IF(AND('Mapa DIGSA'!$AD$61="Media",'Mapa DIGSA'!$AF$61="Catastrófico"),CONCATENATE("R9C",'Mapa DIGSA'!$T$61),"")</f>
        <v/>
      </c>
      <c r="AJ34" s="49" t="str">
        <f>IF(AND('Mapa DIGSA'!$AD$62="Media",'Mapa DIGSA'!$AF$62="Catastrófico"),CONCATENATE("R9C",'Mapa DIGSA'!$T$62),"")</f>
        <v/>
      </c>
      <c r="AK34" s="49" t="str">
        <f>IF(AND('Mapa DIGSA'!$AD$63="Media",'Mapa DIGSA'!$AF$63="Catastrófico"),CONCATENATE("R9C",'Mapa DIGSA'!$T$63),"")</f>
        <v/>
      </c>
      <c r="AL34" s="49" t="str">
        <f>IF(AND('Mapa DIGSA'!$AD$64="Media",'Mapa DIGSA'!$AF$64="Catastrófico"),CONCATENATE("R9C",'Mapa DIGSA'!$T$64),"")</f>
        <v/>
      </c>
      <c r="AM34" s="50" t="str">
        <f>IF(AND('Mapa DIGSA'!$AD$65="Media",'Mapa DIGSA'!$AF$65="Catastrófico"),CONCATENATE("R9C",'Mapa DIGSA'!$T$65),"")</f>
        <v/>
      </c>
      <c r="AN34" s="10"/>
      <c r="AO34" s="425"/>
      <c r="AP34" s="426"/>
      <c r="AQ34" s="426"/>
      <c r="AR34" s="426"/>
      <c r="AS34" s="426"/>
      <c r="AT34" s="427"/>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row>
    <row r="35" spans="1:80" ht="15.75" customHeight="1" thickBot="1" x14ac:dyDescent="0.3">
      <c r="A35" s="10"/>
      <c r="B35" s="343"/>
      <c r="C35" s="343"/>
      <c r="D35" s="344"/>
      <c r="E35" s="387"/>
      <c r="F35" s="388"/>
      <c r="G35" s="388"/>
      <c r="H35" s="388"/>
      <c r="I35" s="389"/>
      <c r="J35" s="61" t="str">
        <f>IF(AND('Mapa DIGSA'!$AD$66="Media",'Mapa DIGSA'!$AF$66="Leve"),CONCATENATE("R10C",'Mapa DIGSA'!$T$66),"")</f>
        <v/>
      </c>
      <c r="K35" s="62" t="str">
        <f>IF(AND('Mapa DIGSA'!$AD$67="Media",'Mapa DIGSA'!$AF$67="Leve"),CONCATENATE("R10C",'Mapa DIGSA'!$T$67),"")</f>
        <v/>
      </c>
      <c r="L35" s="62" t="str">
        <f>IF(AND('Mapa DIGSA'!$AD$68="Media",'Mapa DIGSA'!$AF$68="Leve"),CONCATENATE("R10C",'Mapa DIGSA'!$T$68),"")</f>
        <v/>
      </c>
      <c r="M35" s="62" t="str">
        <f>IF(AND('Mapa DIGSA'!$AD$69="Media",'Mapa DIGSA'!$AF$69="Leve"),CONCATENATE("R10C",'Mapa DIGSA'!$T$69),"")</f>
        <v/>
      </c>
      <c r="N35" s="62" t="str">
        <f>IF(AND('Mapa DIGSA'!$AD$70="Media",'Mapa DIGSA'!$AF$70="Leve"),CONCATENATE("R10C",'Mapa DIGSA'!$T$70),"")</f>
        <v/>
      </c>
      <c r="O35" s="63" t="e">
        <f>IF(AND('Mapa DIGSA'!#REF!="Media",'Mapa DIGSA'!#REF!="Leve"),CONCATENATE("R10C",'Mapa DIGSA'!#REF!),"")</f>
        <v>#REF!</v>
      </c>
      <c r="P35" s="61" t="str">
        <f>IF(AND('Mapa DIGSA'!$AD$66="Media",'Mapa DIGSA'!$AF$66="Menor"),CONCATENATE("R10C",'Mapa DIGSA'!$T$66),"")</f>
        <v/>
      </c>
      <c r="Q35" s="62" t="str">
        <f>IF(AND('Mapa DIGSA'!$AD$67="Media",'Mapa DIGSA'!$AF$67="Menor"),CONCATENATE("R10C",'Mapa DIGSA'!$T$67),"")</f>
        <v/>
      </c>
      <c r="R35" s="62" t="str">
        <f>IF(AND('Mapa DIGSA'!$AD$68="Media",'Mapa DIGSA'!$AF$68="Menor"),CONCATENATE("R10C",'Mapa DIGSA'!$T$68),"")</f>
        <v/>
      </c>
      <c r="S35" s="62" t="str">
        <f>IF(AND('Mapa DIGSA'!$AD$69="Media",'Mapa DIGSA'!$AF$69="Menor"),CONCATENATE("R10C",'Mapa DIGSA'!$T$69),"")</f>
        <v/>
      </c>
      <c r="T35" s="62" t="str">
        <f>IF(AND('Mapa DIGSA'!$AD$70="Media",'Mapa DIGSA'!$AF$70="Menor"),CONCATENATE("R10C",'Mapa DIGSA'!$T$70),"")</f>
        <v/>
      </c>
      <c r="U35" s="63" t="e">
        <f>IF(AND('Mapa DIGSA'!#REF!="Media",'Mapa DIGSA'!#REF!="Menor"),CONCATENATE("R10C",'Mapa DIGSA'!#REF!),"")</f>
        <v>#REF!</v>
      </c>
      <c r="V35" s="61" t="str">
        <f>IF(AND('Mapa DIGSA'!$AD$66="Media",'Mapa DIGSA'!$AF$66="Moderado"),CONCATENATE("R10C",'Mapa DIGSA'!$T$66),"")</f>
        <v/>
      </c>
      <c r="W35" s="62" t="str">
        <f>IF(AND('Mapa DIGSA'!$AD$67="Media",'Mapa DIGSA'!$AF$67="Moderado"),CONCATENATE("R10C",'Mapa DIGSA'!$T$67),"")</f>
        <v/>
      </c>
      <c r="X35" s="62" t="str">
        <f>IF(AND('Mapa DIGSA'!$AD$68="Media",'Mapa DIGSA'!$AF$68="Moderado"),CONCATENATE("R10C",'Mapa DIGSA'!$T$68),"")</f>
        <v/>
      </c>
      <c r="Y35" s="62" t="str">
        <f>IF(AND('Mapa DIGSA'!$AD$69="Media",'Mapa DIGSA'!$AF$69="Moderado"),CONCATENATE("R10C",'Mapa DIGSA'!$T$69),"")</f>
        <v/>
      </c>
      <c r="Z35" s="62" t="str">
        <f>IF(AND('Mapa DIGSA'!$AD$70="Media",'Mapa DIGSA'!$AF$70="Moderado"),CONCATENATE("R10C",'Mapa DIGSA'!$T$70),"")</f>
        <v/>
      </c>
      <c r="AA35" s="63" t="e">
        <f>IF(AND('Mapa DIGSA'!#REF!="Media",'Mapa DIGSA'!#REF!="Moderado"),CONCATENATE("R10C",'Mapa DIGSA'!#REF!),"")</f>
        <v>#REF!</v>
      </c>
      <c r="AB35" s="52" t="str">
        <f>IF(AND('Mapa DIGSA'!$AD$66="Media",'Mapa DIGSA'!$AF$66="Mayor"),CONCATENATE("R10C",'Mapa DIGSA'!$T$66),"")</f>
        <v/>
      </c>
      <c r="AC35" s="53" t="str">
        <f>IF(AND('Mapa DIGSA'!$AD$67="Media",'Mapa DIGSA'!$AF$67="Mayor"),CONCATENATE("R10C",'Mapa DIGSA'!$T$67),"")</f>
        <v/>
      </c>
      <c r="AD35" s="53" t="str">
        <f>IF(AND('Mapa DIGSA'!$AD$68="Media",'Mapa DIGSA'!$AF$68="Mayor"),CONCATENATE("R10C",'Mapa DIGSA'!$T$68),"")</f>
        <v/>
      </c>
      <c r="AE35" s="53" t="str">
        <f>IF(AND('Mapa DIGSA'!$AD$69="Media",'Mapa DIGSA'!$AF$69="Mayor"),CONCATENATE("R10C",'Mapa DIGSA'!$T$69),"")</f>
        <v/>
      </c>
      <c r="AF35" s="53" t="str">
        <f>IF(AND('Mapa DIGSA'!$AD$70="Media",'Mapa DIGSA'!$AF$70="Mayor"),CONCATENATE("R10C",'Mapa DIGSA'!$T$70),"")</f>
        <v/>
      </c>
      <c r="AG35" s="54" t="e">
        <f>IF(AND('Mapa DIGSA'!#REF!="Media",'Mapa DIGSA'!#REF!="Mayor"),CONCATENATE("R10C",'Mapa DIGSA'!#REF!),"")</f>
        <v>#REF!</v>
      </c>
      <c r="AH35" s="55" t="str">
        <f>IF(AND('Mapa DIGSA'!$AD$66="Media",'Mapa DIGSA'!$AF$66="Catastrófico"),CONCATENATE("R10C",'Mapa DIGSA'!$T$66),"")</f>
        <v>R10C1</v>
      </c>
      <c r="AI35" s="56" t="str">
        <f>IF(AND('Mapa DIGSA'!$AD$67="Media",'Mapa DIGSA'!$AF$67="Catastrófico"),CONCATENATE("R10C",'Mapa DIGSA'!$T$67),"")</f>
        <v/>
      </c>
      <c r="AJ35" s="56" t="str">
        <f>IF(AND('Mapa DIGSA'!$AD$68="Media",'Mapa DIGSA'!$AF$68="Catastrófico"),CONCATENATE("R10C",'Mapa DIGSA'!$T$68),"")</f>
        <v/>
      </c>
      <c r="AK35" s="56" t="str">
        <f>IF(AND('Mapa DIGSA'!$AD$69="Media",'Mapa DIGSA'!$AF$69="Catastrófico"),CONCATENATE("R10C",'Mapa DIGSA'!$T$69),"")</f>
        <v/>
      </c>
      <c r="AL35" s="56" t="str">
        <f>IF(AND('Mapa DIGSA'!$AD$70="Media",'Mapa DIGSA'!$AF$70="Catastrófico"),CONCATENATE("R10C",'Mapa DIGSA'!$T$70),"")</f>
        <v/>
      </c>
      <c r="AM35" s="57" t="e">
        <f>IF(AND('Mapa DIGSA'!#REF!="Media",'Mapa DIGSA'!#REF!="Catastrófico"),CONCATENATE("R10C",'Mapa DIGSA'!#REF!),"")</f>
        <v>#REF!</v>
      </c>
      <c r="AN35" s="10"/>
      <c r="AO35" s="428"/>
      <c r="AP35" s="429"/>
      <c r="AQ35" s="429"/>
      <c r="AR35" s="429"/>
      <c r="AS35" s="429"/>
      <c r="AT35" s="430"/>
      <c r="AU35" s="10"/>
      <c r="AV35" s="10"/>
      <c r="AW35" s="10"/>
      <c r="AX35" s="10"/>
      <c r="AY35" s="10"/>
      <c r="AZ35" s="10"/>
      <c r="BA35" s="10"/>
      <c r="BB35" s="10"/>
      <c r="BC35" s="10"/>
      <c r="BD35" s="10"/>
      <c r="BE35" s="10"/>
      <c r="BF35" s="10"/>
      <c r="BG35" s="10"/>
      <c r="BH35" s="10"/>
      <c r="BI35" s="10"/>
      <c r="BJ35" s="10"/>
      <c r="BK35" s="10"/>
      <c r="BL35" s="10"/>
      <c r="BM35" s="10"/>
      <c r="BN35" s="10"/>
      <c r="BO35" s="10"/>
      <c r="BP35" s="10"/>
      <c r="BQ35" s="10"/>
      <c r="BR35" s="10"/>
      <c r="BS35" s="10"/>
      <c r="BT35" s="10"/>
      <c r="BU35" s="10"/>
      <c r="BV35" s="10"/>
      <c r="BW35" s="10"/>
      <c r="BX35" s="10"/>
    </row>
    <row r="36" spans="1:80" ht="15" customHeight="1" x14ac:dyDescent="0.25">
      <c r="A36" s="10"/>
      <c r="B36" s="343"/>
      <c r="C36" s="343"/>
      <c r="D36" s="344"/>
      <c r="E36" s="381" t="s">
        <v>107</v>
      </c>
      <c r="F36" s="382"/>
      <c r="G36" s="382"/>
      <c r="H36" s="382"/>
      <c r="I36" s="382"/>
      <c r="J36" s="67" t="str">
        <f>IF(AND('Mapa DIGSA'!$AD$12="Baja",'Mapa DIGSA'!$AF$12="Leve"),CONCATENATE("R1C",'Mapa DIGSA'!$T$12),"")</f>
        <v/>
      </c>
      <c r="K36" s="68" t="str">
        <f>IF(AND('Mapa DIGSA'!$AD$13="Baja",'Mapa DIGSA'!$AF$13="Leve"),CONCATENATE("R1C",'Mapa DIGSA'!$T$13),"")</f>
        <v/>
      </c>
      <c r="L36" s="68" t="str">
        <f>IF(AND('Mapa DIGSA'!$AD$14="Baja",'Mapa DIGSA'!$AF$14="Leve"),CONCATENATE("R1C",'Mapa DIGSA'!$T$14),"")</f>
        <v/>
      </c>
      <c r="M36" s="68" t="str">
        <f>IF(AND('Mapa DIGSA'!$AD$15="Baja",'Mapa DIGSA'!$AF$15="Leve"),CONCATENATE("R1C",'Mapa DIGSA'!$T$15),"")</f>
        <v/>
      </c>
      <c r="N36" s="68" t="str">
        <f>IF(AND('Mapa DIGSA'!$AD$16="Baja",'Mapa DIGSA'!$AF$16="Leve"),CONCATENATE("R1C",'Mapa DIGSA'!$T$16),"")</f>
        <v/>
      </c>
      <c r="O36" s="69" t="str">
        <f>IF(AND('Mapa DIGSA'!$AD$17="Baja",'Mapa DIGSA'!$AF$17="Leve"),CONCATENATE("R1C",'Mapa DIGSA'!$T$17),"")</f>
        <v/>
      </c>
      <c r="P36" s="58" t="str">
        <f>IF(AND('Mapa DIGSA'!$AD$12="Baja",'Mapa DIGSA'!$AF$12="Menor"),CONCATENATE("R1C",'Mapa DIGSA'!$T$12),"")</f>
        <v/>
      </c>
      <c r="Q36" s="59" t="str">
        <f>IF(AND('Mapa DIGSA'!$AD$13="Baja",'Mapa DIGSA'!$AF$13="Menor"),CONCATENATE("R1C",'Mapa DIGSA'!$T$13),"")</f>
        <v/>
      </c>
      <c r="R36" s="59" t="str">
        <f>IF(AND('Mapa DIGSA'!$AD$14="Baja",'Mapa DIGSA'!$AF$14="Menor"),CONCATENATE("R1C",'Mapa DIGSA'!$T$14),"")</f>
        <v/>
      </c>
      <c r="S36" s="59" t="str">
        <f>IF(AND('Mapa DIGSA'!$AD$15="Baja",'Mapa DIGSA'!$AF$15="Menor"),CONCATENATE("R1C",'Mapa DIGSA'!$T$15),"")</f>
        <v/>
      </c>
      <c r="T36" s="59" t="str">
        <f>IF(AND('Mapa DIGSA'!$AD$16="Baja",'Mapa DIGSA'!$AF$16="Menor"),CONCATENATE("R1C",'Mapa DIGSA'!$T$16),"")</f>
        <v/>
      </c>
      <c r="U36" s="60" t="str">
        <f>IF(AND('Mapa DIGSA'!$AD$17="Baja",'Mapa DIGSA'!$AF$17="Menor"),CONCATENATE("R1C",'Mapa DIGSA'!$T$17),"")</f>
        <v/>
      </c>
      <c r="V36" s="58" t="str">
        <f>IF(AND('Mapa DIGSA'!$AD$12="Baja",'Mapa DIGSA'!$AF$12="Moderado"),CONCATENATE("R1C",'Mapa DIGSA'!$T$12),"")</f>
        <v/>
      </c>
      <c r="W36" s="59" t="str">
        <f>IF(AND('Mapa DIGSA'!$AD$13="Baja",'Mapa DIGSA'!$AF$13="Moderado"),CONCATENATE("R1C",'Mapa DIGSA'!$T$13),"")</f>
        <v/>
      </c>
      <c r="X36" s="59" t="str">
        <f>IF(AND('Mapa DIGSA'!$AD$14="Baja",'Mapa DIGSA'!$AF$14="Moderado"),CONCATENATE("R1C",'Mapa DIGSA'!$T$14),"")</f>
        <v/>
      </c>
      <c r="Y36" s="59" t="str">
        <f>IF(AND('Mapa DIGSA'!$AD$15="Baja",'Mapa DIGSA'!$AF$15="Moderado"),CONCATENATE("R1C",'Mapa DIGSA'!$T$15),"")</f>
        <v/>
      </c>
      <c r="Z36" s="59" t="str">
        <f>IF(AND('Mapa DIGSA'!$AD$16="Baja",'Mapa DIGSA'!$AF$16="Moderado"),CONCATENATE("R1C",'Mapa DIGSA'!$T$16),"")</f>
        <v/>
      </c>
      <c r="AA36" s="60" t="str">
        <f>IF(AND('Mapa DIGSA'!$AD$17="Baja",'Mapa DIGSA'!$AF$17="Moderado"),CONCATENATE("R1C",'Mapa DIGSA'!$T$17),"")</f>
        <v/>
      </c>
      <c r="AB36" s="39" t="str">
        <f>IF(AND('Mapa DIGSA'!$AD$12="Baja",'Mapa DIGSA'!$AF$12="Mayor"),CONCATENATE("R1C",'Mapa DIGSA'!$T$12),"")</f>
        <v/>
      </c>
      <c r="AC36" s="40" t="str">
        <f>IF(AND('Mapa DIGSA'!$AD$13="Baja",'Mapa DIGSA'!$AF$13="Mayor"),CONCATENATE("R1C",'Mapa DIGSA'!$T$13),"")</f>
        <v/>
      </c>
      <c r="AD36" s="40" t="str">
        <f>IF(AND('Mapa DIGSA'!$AD$14="Baja",'Mapa DIGSA'!$AF$14="Mayor"),CONCATENATE("R1C",'Mapa DIGSA'!$T$14),"")</f>
        <v/>
      </c>
      <c r="AE36" s="40" t="str">
        <f>IF(AND('Mapa DIGSA'!$AD$15="Baja",'Mapa DIGSA'!$AF$15="Mayor"),CONCATENATE("R1C",'Mapa DIGSA'!$T$15),"")</f>
        <v/>
      </c>
      <c r="AF36" s="40" t="str">
        <f>IF(AND('Mapa DIGSA'!$AD$16="Baja",'Mapa DIGSA'!$AF$16="Mayor"),CONCATENATE("R1C",'Mapa DIGSA'!$T$16),"")</f>
        <v/>
      </c>
      <c r="AG36" s="41" t="str">
        <f>IF(AND('Mapa DIGSA'!$AD$17="Baja",'Mapa DIGSA'!$AF$17="Mayor"),CONCATENATE("R1C",'Mapa DIGSA'!$T$17),"")</f>
        <v/>
      </c>
      <c r="AH36" s="42" t="str">
        <f>IF(AND('Mapa DIGSA'!$AD$12="Baja",'Mapa DIGSA'!$AF$12="Catastrófico"),CONCATENATE("R1C",'Mapa DIGSA'!$T$12),"")</f>
        <v/>
      </c>
      <c r="AI36" s="43" t="str">
        <f>IF(AND('Mapa DIGSA'!$AD$13="Baja",'Mapa DIGSA'!$AF$13="Catastrófico"),CONCATENATE("R1C",'Mapa DIGSA'!$T$13),"")</f>
        <v>R1C2</v>
      </c>
      <c r="AJ36" s="43" t="str">
        <f>IF(AND('Mapa DIGSA'!$AD$14="Baja",'Mapa DIGSA'!$AF$14="Catastrófico"),CONCATENATE("R1C",'Mapa DIGSA'!$T$14),"")</f>
        <v>R1C3</v>
      </c>
      <c r="AK36" s="43" t="str">
        <f>IF(AND('Mapa DIGSA'!$AD$15="Baja",'Mapa DIGSA'!$AF$15="Catastrófico"),CONCATENATE("R1C",'Mapa DIGSA'!$T$15),"")</f>
        <v/>
      </c>
      <c r="AL36" s="43" t="str">
        <f>IF(AND('Mapa DIGSA'!$AD$16="Baja",'Mapa DIGSA'!$AF$16="Catastrófico"),CONCATENATE("R1C",'Mapa DIGSA'!$T$16),"")</f>
        <v/>
      </c>
      <c r="AM36" s="44" t="str">
        <f>IF(AND('Mapa DIGSA'!$AD$17="Baja",'Mapa DIGSA'!$AF$17="Catastrófico"),CONCATENATE("R1C",'Mapa DIGSA'!$T$17),"")</f>
        <v/>
      </c>
      <c r="AN36" s="10"/>
      <c r="AO36" s="413" t="s">
        <v>76</v>
      </c>
      <c r="AP36" s="414"/>
      <c r="AQ36" s="414"/>
      <c r="AR36" s="414"/>
      <c r="AS36" s="414"/>
      <c r="AT36" s="415"/>
      <c r="AU36" s="10"/>
      <c r="AV36" s="10"/>
      <c r="AW36" s="10"/>
      <c r="AX36" s="10"/>
      <c r="AY36" s="10"/>
      <c r="AZ36" s="10"/>
      <c r="BA36" s="10"/>
      <c r="BB36" s="10"/>
      <c r="BC36" s="10"/>
      <c r="BD36" s="10"/>
      <c r="BE36" s="10"/>
      <c r="BF36" s="10"/>
      <c r="BG36" s="10"/>
      <c r="BH36" s="10"/>
      <c r="BI36" s="10"/>
      <c r="BJ36" s="10"/>
      <c r="BK36" s="10"/>
      <c r="BL36" s="10"/>
      <c r="BM36" s="10"/>
      <c r="BN36" s="10"/>
      <c r="BO36" s="10"/>
      <c r="BP36" s="10"/>
      <c r="BQ36" s="10"/>
      <c r="BR36" s="10"/>
      <c r="BS36" s="10"/>
      <c r="BT36" s="10"/>
      <c r="BU36" s="10"/>
      <c r="BV36" s="10"/>
      <c r="BW36" s="10"/>
      <c r="BX36" s="10"/>
    </row>
    <row r="37" spans="1:80" ht="15" customHeight="1" x14ac:dyDescent="0.25">
      <c r="A37" s="10"/>
      <c r="B37" s="343"/>
      <c r="C37" s="343"/>
      <c r="D37" s="344"/>
      <c r="E37" s="400"/>
      <c r="F37" s="401"/>
      <c r="G37" s="401"/>
      <c r="H37" s="401"/>
      <c r="I37" s="401"/>
      <c r="J37" s="70" t="str">
        <f>IF(AND('Mapa DIGSA'!$AD$18="Baja",'Mapa DIGSA'!$AF$18="Leve"),CONCATENATE("R2C",'Mapa DIGSA'!$T$18),"")</f>
        <v/>
      </c>
      <c r="K37" s="71" t="str">
        <f>IF(AND('Mapa DIGSA'!$AD$19="Baja",'Mapa DIGSA'!$AF$19="Leve"),CONCATENATE("R2C",'Mapa DIGSA'!$T$19),"")</f>
        <v/>
      </c>
      <c r="L37" s="71" t="str">
        <f>IF(AND('Mapa DIGSA'!$AD$20="Baja",'Mapa DIGSA'!$AF$20="Leve"),CONCATENATE("R2C",'Mapa DIGSA'!$T$20),"")</f>
        <v/>
      </c>
      <c r="M37" s="71" t="str">
        <f>IF(AND('Mapa DIGSA'!$AD$21="Baja",'Mapa DIGSA'!$AF$21="Leve"),CONCATENATE("R2C",'Mapa DIGSA'!$T$21),"")</f>
        <v/>
      </c>
      <c r="N37" s="71" t="str">
        <f>IF(AND('Mapa DIGSA'!$AD$22="Baja",'Mapa DIGSA'!$AF$22="Leve"),CONCATENATE("R2C",'Mapa DIGSA'!$T$22),"")</f>
        <v/>
      </c>
      <c r="O37" s="72" t="str">
        <f>IF(AND('Mapa DIGSA'!$AD$23="Baja",'Mapa DIGSA'!$AF$23="Leve"),CONCATENATE("R2C",'Mapa DIGSA'!$T$23),"")</f>
        <v/>
      </c>
      <c r="P37" s="61" t="str">
        <f>IF(AND('Mapa DIGSA'!$AD$18="Baja",'Mapa DIGSA'!$AF$18="Menor"),CONCATENATE("R2C",'Mapa DIGSA'!$T$18),"")</f>
        <v/>
      </c>
      <c r="Q37" s="62" t="str">
        <f>IF(AND('Mapa DIGSA'!$AD$19="Baja",'Mapa DIGSA'!$AF$19="Menor"),CONCATENATE("R2C",'Mapa DIGSA'!$T$19),"")</f>
        <v/>
      </c>
      <c r="R37" s="62" t="str">
        <f>IF(AND('Mapa DIGSA'!$AD$20="Baja",'Mapa DIGSA'!$AF$20="Menor"),CONCATENATE("R2C",'Mapa DIGSA'!$T$20),"")</f>
        <v/>
      </c>
      <c r="S37" s="62" t="str">
        <f>IF(AND('Mapa DIGSA'!$AD$21="Baja",'Mapa DIGSA'!$AF$21="Menor"),CONCATENATE("R2C",'Mapa DIGSA'!$T$21),"")</f>
        <v/>
      </c>
      <c r="T37" s="62" t="str">
        <f>IF(AND('Mapa DIGSA'!$AD$22="Baja",'Mapa DIGSA'!$AF$22="Menor"),CONCATENATE("R2C",'Mapa DIGSA'!$T$22),"")</f>
        <v/>
      </c>
      <c r="U37" s="63" t="str">
        <f>IF(AND('Mapa DIGSA'!$AD$23="Baja",'Mapa DIGSA'!$AF$23="Menor"),CONCATENATE("R2C",'Mapa DIGSA'!$T$23),"")</f>
        <v/>
      </c>
      <c r="V37" s="61" t="str">
        <f>IF(AND('Mapa DIGSA'!$AD$18="Baja",'Mapa DIGSA'!$AF$18="Moderado"),CONCATENATE("R2C",'Mapa DIGSA'!$T$18),"")</f>
        <v/>
      </c>
      <c r="W37" s="62" t="str">
        <f>IF(AND('Mapa DIGSA'!$AD$19="Baja",'Mapa DIGSA'!$AF$19="Moderado"),CONCATENATE("R2C",'Mapa DIGSA'!$T$19),"")</f>
        <v/>
      </c>
      <c r="X37" s="62" t="str">
        <f>IF(AND('Mapa DIGSA'!$AD$20="Baja",'Mapa DIGSA'!$AF$20="Moderado"),CONCATENATE("R2C",'Mapa DIGSA'!$T$20),"")</f>
        <v/>
      </c>
      <c r="Y37" s="62" t="str">
        <f>IF(AND('Mapa DIGSA'!$AD$21="Baja",'Mapa DIGSA'!$AF$21="Moderado"),CONCATENATE("R2C",'Mapa DIGSA'!$T$21),"")</f>
        <v/>
      </c>
      <c r="Z37" s="62" t="str">
        <f>IF(AND('Mapa DIGSA'!$AD$22="Baja",'Mapa DIGSA'!$AF$22="Moderado"),CONCATENATE("R2C",'Mapa DIGSA'!$T$22),"")</f>
        <v/>
      </c>
      <c r="AA37" s="63" t="str">
        <f>IF(AND('Mapa DIGSA'!$AD$23="Baja",'Mapa DIGSA'!$AF$23="Moderado"),CONCATENATE("R2C",'Mapa DIGSA'!$T$23),"")</f>
        <v/>
      </c>
      <c r="AB37" s="45" t="str">
        <f>IF(AND('Mapa DIGSA'!$AD$18="Baja",'Mapa DIGSA'!$AF$18="Mayor"),CONCATENATE("R2C",'Mapa DIGSA'!$T$18),"")</f>
        <v/>
      </c>
      <c r="AC37" s="46" t="str">
        <f>IF(AND('Mapa DIGSA'!$AD$19="Baja",'Mapa DIGSA'!$AF$19="Mayor"),CONCATENATE("R2C",'Mapa DIGSA'!$T$19),"")</f>
        <v/>
      </c>
      <c r="AD37" s="46" t="str">
        <f>IF(AND('Mapa DIGSA'!$AD$20="Baja",'Mapa DIGSA'!$AF$20="Mayor"),CONCATENATE("R2C",'Mapa DIGSA'!$T$20),"")</f>
        <v/>
      </c>
      <c r="AE37" s="46" t="str">
        <f>IF(AND('Mapa DIGSA'!$AD$21="Baja",'Mapa DIGSA'!$AF$21="Mayor"),CONCATENATE("R2C",'Mapa DIGSA'!$T$21),"")</f>
        <v>R2C4</v>
      </c>
      <c r="AF37" s="46" t="str">
        <f>IF(AND('Mapa DIGSA'!$AD$22="Baja",'Mapa DIGSA'!$AF$22="Mayor"),CONCATENATE("R2C",'Mapa DIGSA'!$T$22),"")</f>
        <v/>
      </c>
      <c r="AG37" s="47" t="str">
        <f>IF(AND('Mapa DIGSA'!$AD$23="Baja",'Mapa DIGSA'!$AF$23="Mayor"),CONCATENATE("R2C",'Mapa DIGSA'!$T$23),"")</f>
        <v/>
      </c>
      <c r="AH37" s="48" t="str">
        <f>IF(AND('Mapa DIGSA'!$AD$18="Baja",'Mapa DIGSA'!$AF$18="Catastrófico"),CONCATENATE("R2C",'Mapa DIGSA'!$T$18),"")</f>
        <v/>
      </c>
      <c r="AI37" s="49" t="str">
        <f>IF(AND('Mapa DIGSA'!$AD$19="Baja",'Mapa DIGSA'!$AF$19="Catastrófico"),CONCATENATE("R2C",'Mapa DIGSA'!$T$19),"")</f>
        <v>R2C2</v>
      </c>
      <c r="AJ37" s="49" t="str">
        <f>IF(AND('Mapa DIGSA'!$AD$20="Baja",'Mapa DIGSA'!$AF$20="Catastrófico"),CONCATENATE("R2C",'Mapa DIGSA'!$T$20),"")</f>
        <v>R2C3</v>
      </c>
      <c r="AK37" s="49" t="str">
        <f>IF(AND('Mapa DIGSA'!$AD$21="Baja",'Mapa DIGSA'!$AF$21="Catastrófico"),CONCATENATE("R2C",'Mapa DIGSA'!$T$21),"")</f>
        <v/>
      </c>
      <c r="AL37" s="49" t="str">
        <f>IF(AND('Mapa DIGSA'!$AD$22="Baja",'Mapa DIGSA'!$AF$22="Catastrófico"),CONCATENATE("R2C",'Mapa DIGSA'!$T$22),"")</f>
        <v/>
      </c>
      <c r="AM37" s="50" t="str">
        <f>IF(AND('Mapa DIGSA'!$AD$23="Baja",'Mapa DIGSA'!$AF$23="Catastrófico"),CONCATENATE("R2C",'Mapa DIGSA'!$T$23),"")</f>
        <v/>
      </c>
      <c r="AN37" s="10"/>
      <c r="AO37" s="416"/>
      <c r="AP37" s="417"/>
      <c r="AQ37" s="417"/>
      <c r="AR37" s="417"/>
      <c r="AS37" s="417"/>
      <c r="AT37" s="418"/>
      <c r="AU37" s="10"/>
      <c r="AV37" s="10"/>
      <c r="AW37" s="10"/>
      <c r="AX37" s="10"/>
      <c r="AY37" s="10"/>
      <c r="AZ37" s="10"/>
      <c r="BA37" s="10"/>
      <c r="BB37" s="10"/>
      <c r="BC37" s="10"/>
      <c r="BD37" s="10"/>
      <c r="BE37" s="10"/>
      <c r="BF37" s="10"/>
      <c r="BG37" s="10"/>
      <c r="BH37" s="10"/>
      <c r="BI37" s="10"/>
      <c r="BJ37" s="10"/>
      <c r="BK37" s="10"/>
      <c r="BL37" s="10"/>
      <c r="BM37" s="10"/>
      <c r="BN37" s="10"/>
      <c r="BO37" s="10"/>
      <c r="BP37" s="10"/>
      <c r="BQ37" s="10"/>
      <c r="BR37" s="10"/>
      <c r="BS37" s="10"/>
      <c r="BT37" s="10"/>
      <c r="BU37" s="10"/>
      <c r="BV37" s="10"/>
      <c r="BW37" s="10"/>
      <c r="BX37" s="10"/>
    </row>
    <row r="38" spans="1:80" ht="15" customHeight="1" x14ac:dyDescent="0.25">
      <c r="A38" s="10"/>
      <c r="B38" s="343"/>
      <c r="C38" s="343"/>
      <c r="D38" s="344"/>
      <c r="E38" s="384"/>
      <c r="F38" s="385"/>
      <c r="G38" s="385"/>
      <c r="H38" s="385"/>
      <c r="I38" s="401"/>
      <c r="J38" s="70" t="str">
        <f>IF(AND('Mapa DIGSA'!$AD$24="Baja",'Mapa DIGSA'!$AF$24="Leve"),CONCATENATE("R3C",'Mapa DIGSA'!$T$24),"")</f>
        <v/>
      </c>
      <c r="K38" s="71" t="str">
        <f>IF(AND('Mapa DIGSA'!$AD$25="Baja",'Mapa DIGSA'!$AF$25="Leve"),CONCATENATE("R3C",'Mapa DIGSA'!$T$25),"")</f>
        <v/>
      </c>
      <c r="L38" s="71" t="str">
        <f>IF(AND('Mapa DIGSA'!$AD$26="Baja",'Mapa DIGSA'!$AF$26="Leve"),CONCATENATE("R3C",'Mapa DIGSA'!$T$26),"")</f>
        <v/>
      </c>
      <c r="M38" s="71" t="str">
        <f>IF(AND('Mapa DIGSA'!$AD$27="Baja",'Mapa DIGSA'!$AF$27="Leve"),CONCATENATE("R3C",'Mapa DIGSA'!$T$27),"")</f>
        <v/>
      </c>
      <c r="N38" s="71" t="str">
        <f>IF(AND('Mapa DIGSA'!$AD$28="Baja",'Mapa DIGSA'!$AF$28="Leve"),CONCATENATE("R3C",'Mapa DIGSA'!$T$28),"")</f>
        <v/>
      </c>
      <c r="O38" s="72" t="str">
        <f>IF(AND('Mapa DIGSA'!$AD$29="Baja",'Mapa DIGSA'!$AF$29="Leve"),CONCATENATE("R3C",'Mapa DIGSA'!$T$29),"")</f>
        <v/>
      </c>
      <c r="P38" s="61" t="str">
        <f>IF(AND('Mapa DIGSA'!$AD$24="Baja",'Mapa DIGSA'!$AF$24="Menor"),CONCATENATE("R3C",'Mapa DIGSA'!$T$24),"")</f>
        <v/>
      </c>
      <c r="Q38" s="62" t="str">
        <f>IF(AND('Mapa DIGSA'!$AD$25="Baja",'Mapa DIGSA'!$AF$25="Menor"),CONCATENATE("R3C",'Mapa DIGSA'!$T$25),"")</f>
        <v/>
      </c>
      <c r="R38" s="62" t="str">
        <f>IF(AND('Mapa DIGSA'!$AD$26="Baja",'Mapa DIGSA'!$AF$26="Menor"),CONCATENATE("R3C",'Mapa DIGSA'!$T$26),"")</f>
        <v/>
      </c>
      <c r="S38" s="62" t="str">
        <f>IF(AND('Mapa DIGSA'!$AD$27="Baja",'Mapa DIGSA'!$AF$27="Menor"),CONCATENATE("R3C",'Mapa DIGSA'!$T$27),"")</f>
        <v/>
      </c>
      <c r="T38" s="62" t="str">
        <f>IF(AND('Mapa DIGSA'!$AD$28="Baja",'Mapa DIGSA'!$AF$28="Menor"),CONCATENATE("R3C",'Mapa DIGSA'!$T$28),"")</f>
        <v/>
      </c>
      <c r="U38" s="63" t="str">
        <f>IF(AND('Mapa DIGSA'!$AD$29="Baja",'Mapa DIGSA'!$AF$29="Menor"),CONCATENATE("R3C",'Mapa DIGSA'!$T$29),"")</f>
        <v/>
      </c>
      <c r="V38" s="61" t="str">
        <f>IF(AND('Mapa DIGSA'!$AD$24="Baja",'Mapa DIGSA'!$AF$24="Moderado"),CONCATENATE("R3C",'Mapa DIGSA'!$T$24),"")</f>
        <v/>
      </c>
      <c r="W38" s="62" t="str">
        <f>IF(AND('Mapa DIGSA'!$AD$25="Baja",'Mapa DIGSA'!$AF$25="Moderado"),CONCATENATE("R3C",'Mapa DIGSA'!$T$25),"")</f>
        <v/>
      </c>
      <c r="X38" s="62" t="str">
        <f>IF(AND('Mapa DIGSA'!$AD$26="Baja",'Mapa DIGSA'!$AF$26="Moderado"),CONCATENATE("R3C",'Mapa DIGSA'!$T$26),"")</f>
        <v/>
      </c>
      <c r="Y38" s="62" t="str">
        <f>IF(AND('Mapa DIGSA'!$AD$27="Baja",'Mapa DIGSA'!$AF$27="Moderado"),CONCATENATE("R3C",'Mapa DIGSA'!$T$27),"")</f>
        <v/>
      </c>
      <c r="Z38" s="62" t="str">
        <f>IF(AND('Mapa DIGSA'!$AD$28="Baja",'Mapa DIGSA'!$AF$28="Moderado"),CONCATENATE("R3C",'Mapa DIGSA'!$T$28),"")</f>
        <v/>
      </c>
      <c r="AA38" s="63" t="str">
        <f>IF(AND('Mapa DIGSA'!$AD$29="Baja",'Mapa DIGSA'!$AF$29="Moderado"),CONCATENATE("R3C",'Mapa DIGSA'!$T$29),"")</f>
        <v/>
      </c>
      <c r="AB38" s="45" t="str">
        <f>IF(AND('Mapa DIGSA'!$AD$24="Baja",'Mapa DIGSA'!$AF$24="Mayor"),CONCATENATE("R3C",'Mapa DIGSA'!$T$24),"")</f>
        <v/>
      </c>
      <c r="AC38" s="46" t="str">
        <f>IF(AND('Mapa DIGSA'!$AD$25="Baja",'Mapa DIGSA'!$AF$25="Mayor"),CONCATENATE("R3C",'Mapa DIGSA'!$T$25),"")</f>
        <v/>
      </c>
      <c r="AD38" s="46" t="str">
        <f>IF(AND('Mapa DIGSA'!$AD$26="Baja",'Mapa DIGSA'!$AF$26="Mayor"),CONCATENATE("R3C",'Mapa DIGSA'!$T$26),"")</f>
        <v/>
      </c>
      <c r="AE38" s="46" t="str">
        <f>IF(AND('Mapa DIGSA'!$AD$27="Baja",'Mapa DIGSA'!$AF$27="Mayor"),CONCATENATE("R3C",'Mapa DIGSA'!$T$27),"")</f>
        <v>R3C4</v>
      </c>
      <c r="AF38" s="46" t="str">
        <f>IF(AND('Mapa DIGSA'!$AD$28="Baja",'Mapa DIGSA'!$AF$28="Mayor"),CONCATENATE("R3C",'Mapa DIGSA'!$T$28),"")</f>
        <v/>
      </c>
      <c r="AG38" s="47" t="str">
        <f>IF(AND('Mapa DIGSA'!$AD$29="Baja",'Mapa DIGSA'!$AF$29="Mayor"),CONCATENATE("R3C",'Mapa DIGSA'!$T$29),"")</f>
        <v/>
      </c>
      <c r="AH38" s="48" t="str">
        <f>IF(AND('Mapa DIGSA'!$AD$24="Baja",'Mapa DIGSA'!$AF$24="Catastrófico"),CONCATENATE("R3C",'Mapa DIGSA'!$T$24),"")</f>
        <v/>
      </c>
      <c r="AI38" s="49" t="str">
        <f>IF(AND('Mapa DIGSA'!$AD$25="Baja",'Mapa DIGSA'!$AF$25="Catastrófico"),CONCATENATE("R3C",'Mapa DIGSA'!$T$25),"")</f>
        <v/>
      </c>
      <c r="AJ38" s="49" t="str">
        <f>IF(AND('Mapa DIGSA'!$AD$26="Baja",'Mapa DIGSA'!$AF$26="Catastrófico"),CONCATENATE("R3C",'Mapa DIGSA'!$T$26),"")</f>
        <v>R3C3</v>
      </c>
      <c r="AK38" s="49" t="str">
        <f>IF(AND('Mapa DIGSA'!$AD$27="Baja",'Mapa DIGSA'!$AF$27="Catastrófico"),CONCATENATE("R3C",'Mapa DIGSA'!$T$27),"")</f>
        <v/>
      </c>
      <c r="AL38" s="49" t="str">
        <f>IF(AND('Mapa DIGSA'!$AD$28="Baja",'Mapa DIGSA'!$AF$28="Catastrófico"),CONCATENATE("R3C",'Mapa DIGSA'!$T$28),"")</f>
        <v/>
      </c>
      <c r="AM38" s="50" t="str">
        <f>IF(AND('Mapa DIGSA'!$AD$29="Baja",'Mapa DIGSA'!$AF$29="Catastrófico"),CONCATENATE("R3C",'Mapa DIGSA'!$T$29),"")</f>
        <v/>
      </c>
      <c r="AN38" s="10"/>
      <c r="AO38" s="416"/>
      <c r="AP38" s="417"/>
      <c r="AQ38" s="417"/>
      <c r="AR38" s="417"/>
      <c r="AS38" s="417"/>
      <c r="AT38" s="418"/>
      <c r="AU38" s="10"/>
      <c r="AV38" s="10"/>
      <c r="AW38" s="10"/>
      <c r="AX38" s="10"/>
      <c r="AY38" s="10"/>
      <c r="AZ38" s="10"/>
      <c r="BA38" s="10"/>
      <c r="BB38" s="10"/>
      <c r="BC38" s="10"/>
      <c r="BD38" s="10"/>
      <c r="BE38" s="10"/>
      <c r="BF38" s="10"/>
      <c r="BG38" s="10"/>
      <c r="BH38" s="10"/>
      <c r="BI38" s="10"/>
      <c r="BJ38" s="10"/>
      <c r="BK38" s="10"/>
      <c r="BL38" s="10"/>
      <c r="BM38" s="10"/>
      <c r="BN38" s="10"/>
      <c r="BO38" s="10"/>
      <c r="BP38" s="10"/>
      <c r="BQ38" s="10"/>
      <c r="BR38" s="10"/>
      <c r="BS38" s="10"/>
      <c r="BT38" s="10"/>
      <c r="BU38" s="10"/>
      <c r="BV38" s="10"/>
      <c r="BW38" s="10"/>
      <c r="BX38" s="10"/>
    </row>
    <row r="39" spans="1:80" ht="15" customHeight="1" x14ac:dyDescent="0.25">
      <c r="A39" s="10"/>
      <c r="B39" s="343"/>
      <c r="C39" s="343"/>
      <c r="D39" s="344"/>
      <c r="E39" s="384"/>
      <c r="F39" s="385"/>
      <c r="G39" s="385"/>
      <c r="H39" s="385"/>
      <c r="I39" s="401"/>
      <c r="J39" s="70" t="str">
        <f>IF(AND('Mapa DIGSA'!$AD$30="Baja",'Mapa DIGSA'!$AF$30="Leve"),CONCATENATE("R4C",'Mapa DIGSA'!$T$30),"")</f>
        <v/>
      </c>
      <c r="K39" s="71" t="str">
        <f>IF(AND('Mapa DIGSA'!$AD$31="Baja",'Mapa DIGSA'!$AF$31="Leve"),CONCATENATE("R4C",'Mapa DIGSA'!$T$31),"")</f>
        <v/>
      </c>
      <c r="L39" s="71" t="str">
        <f>IF(AND('Mapa DIGSA'!$AD$32="Baja",'Mapa DIGSA'!$AF$32="Leve"),CONCATENATE("R4C",'Mapa DIGSA'!$T$32),"")</f>
        <v/>
      </c>
      <c r="M39" s="71" t="str">
        <f>IF(AND('Mapa DIGSA'!$AD$33="Baja",'Mapa DIGSA'!$AF$33="Leve"),CONCATENATE("R4C",'Mapa DIGSA'!$T$33),"")</f>
        <v/>
      </c>
      <c r="N39" s="71" t="str">
        <f>IF(AND('Mapa DIGSA'!$AD$34="Baja",'Mapa DIGSA'!$AF$34="Leve"),CONCATENATE("R4C",'Mapa DIGSA'!$T$34),"")</f>
        <v/>
      </c>
      <c r="O39" s="72" t="str">
        <f>IF(AND('Mapa DIGSA'!$AD$35="Baja",'Mapa DIGSA'!$AF$35="Leve"),CONCATENATE("R4C",'Mapa DIGSA'!$T$35),"")</f>
        <v/>
      </c>
      <c r="P39" s="61" t="str">
        <f>IF(AND('Mapa DIGSA'!$AD$30="Baja",'Mapa DIGSA'!$AF$30="Menor"),CONCATENATE("R4C",'Mapa DIGSA'!$T$30),"")</f>
        <v/>
      </c>
      <c r="Q39" s="62" t="str">
        <f>IF(AND('Mapa DIGSA'!$AD$31="Baja",'Mapa DIGSA'!$AF$31="Menor"),CONCATENATE("R4C",'Mapa DIGSA'!$T$31),"")</f>
        <v/>
      </c>
      <c r="R39" s="62" t="str">
        <f>IF(AND('Mapa DIGSA'!$AD$32="Baja",'Mapa DIGSA'!$AF$32="Menor"),CONCATENATE("R4C",'Mapa DIGSA'!$T$32),"")</f>
        <v/>
      </c>
      <c r="S39" s="62" t="str">
        <f>IF(AND('Mapa DIGSA'!$AD$33="Baja",'Mapa DIGSA'!$AF$33="Menor"),CONCATENATE("R4C",'Mapa DIGSA'!$T$33),"")</f>
        <v/>
      </c>
      <c r="T39" s="62" t="str">
        <f>IF(AND('Mapa DIGSA'!$AD$34="Baja",'Mapa DIGSA'!$AF$34="Menor"),CONCATENATE("R4C",'Mapa DIGSA'!$T$34),"")</f>
        <v/>
      </c>
      <c r="U39" s="63" t="str">
        <f>IF(AND('Mapa DIGSA'!$AD$35="Baja",'Mapa DIGSA'!$AF$35="Menor"),CONCATENATE("R4C",'Mapa DIGSA'!$T$35),"")</f>
        <v/>
      </c>
      <c r="V39" s="61" t="str">
        <f>IF(AND('Mapa DIGSA'!$AD$30="Baja",'Mapa DIGSA'!$AF$30="Moderado"),CONCATENATE("R4C",'Mapa DIGSA'!$T$30),"")</f>
        <v/>
      </c>
      <c r="W39" s="62" t="str">
        <f>IF(AND('Mapa DIGSA'!$AD$31="Baja",'Mapa DIGSA'!$AF$31="Moderado"),CONCATENATE("R4C",'Mapa DIGSA'!$T$31),"")</f>
        <v/>
      </c>
      <c r="X39" s="62" t="str">
        <f>IF(AND('Mapa DIGSA'!$AD$32="Baja",'Mapa DIGSA'!$AF$32="Moderado"),CONCATENATE("R4C",'Mapa DIGSA'!$T$32),"")</f>
        <v/>
      </c>
      <c r="Y39" s="62" t="str">
        <f>IF(AND('Mapa DIGSA'!$AD$33="Baja",'Mapa DIGSA'!$AF$33="Moderado"),CONCATENATE("R4C",'Mapa DIGSA'!$T$33),"")</f>
        <v/>
      </c>
      <c r="Z39" s="62" t="str">
        <f>IF(AND('Mapa DIGSA'!$AD$34="Baja",'Mapa DIGSA'!$AF$34="Moderado"),CONCATENATE("R4C",'Mapa DIGSA'!$T$34),"")</f>
        <v/>
      </c>
      <c r="AA39" s="63" t="str">
        <f>IF(AND('Mapa DIGSA'!$AD$35="Baja",'Mapa DIGSA'!$AF$35="Moderado"),CONCATENATE("R4C",'Mapa DIGSA'!$T$35),"")</f>
        <v/>
      </c>
      <c r="AB39" s="45" t="str">
        <f>IF(AND('Mapa DIGSA'!$AD$30="Baja",'Mapa DIGSA'!$AF$30="Mayor"),CONCATENATE("R4C",'Mapa DIGSA'!$T$30),"")</f>
        <v>R4C1</v>
      </c>
      <c r="AC39" s="46" t="str">
        <f>IF(AND('Mapa DIGSA'!$AD$31="Baja",'Mapa DIGSA'!$AF$31="Mayor"),CONCATENATE("R4C",'Mapa DIGSA'!$T$31),"")</f>
        <v>R4C2</v>
      </c>
      <c r="AD39" s="46" t="str">
        <f>IF(AND('Mapa DIGSA'!$AD$32="Baja",'Mapa DIGSA'!$AF$32="Mayor"),CONCATENATE("R4C",'Mapa DIGSA'!$T$32),"")</f>
        <v/>
      </c>
      <c r="AE39" s="46" t="str">
        <f>IF(AND('Mapa DIGSA'!$AD$33="Baja",'Mapa DIGSA'!$AF$33="Mayor"),CONCATENATE("R4C",'Mapa DIGSA'!$T$33),"")</f>
        <v/>
      </c>
      <c r="AF39" s="46" t="str">
        <f>IF(AND('Mapa DIGSA'!$AD$34="Baja",'Mapa DIGSA'!$AF$34="Mayor"),CONCATENATE("R4C",'Mapa DIGSA'!$T$34),"")</f>
        <v/>
      </c>
      <c r="AG39" s="47" t="str">
        <f>IF(AND('Mapa DIGSA'!$AD$35="Baja",'Mapa DIGSA'!$AF$35="Mayor"),CONCATENATE("R4C",'Mapa DIGSA'!$T$35),"")</f>
        <v/>
      </c>
      <c r="AH39" s="48" t="str">
        <f>IF(AND('Mapa DIGSA'!$AD$30="Baja",'Mapa DIGSA'!$AF$30="Catastrófico"),CONCATENATE("R4C",'Mapa DIGSA'!$T$30),"")</f>
        <v/>
      </c>
      <c r="AI39" s="49" t="str">
        <f>IF(AND('Mapa DIGSA'!$AD$31="Baja",'Mapa DIGSA'!$AF$31="Catastrófico"),CONCATENATE("R4C",'Mapa DIGSA'!$T$31),"")</f>
        <v/>
      </c>
      <c r="AJ39" s="49" t="str">
        <f>IF(AND('Mapa DIGSA'!$AD$32="Baja",'Mapa DIGSA'!$AF$32="Catastrófico"),CONCATENATE("R4C",'Mapa DIGSA'!$T$32),"")</f>
        <v/>
      </c>
      <c r="AK39" s="49" t="str">
        <f>IF(AND('Mapa DIGSA'!$AD$33="Baja",'Mapa DIGSA'!$AF$33="Catastrófico"),CONCATENATE("R4C",'Mapa DIGSA'!$T$33),"")</f>
        <v/>
      </c>
      <c r="AL39" s="49" t="str">
        <f>IF(AND('Mapa DIGSA'!$AD$34="Baja",'Mapa DIGSA'!$AF$34="Catastrófico"),CONCATENATE("R4C",'Mapa DIGSA'!$T$34),"")</f>
        <v/>
      </c>
      <c r="AM39" s="50" t="str">
        <f>IF(AND('Mapa DIGSA'!$AD$35="Baja",'Mapa DIGSA'!$AF$35="Catastrófico"),CONCATENATE("R4C",'Mapa DIGSA'!$T$35),"")</f>
        <v/>
      </c>
      <c r="AN39" s="10"/>
      <c r="AO39" s="416"/>
      <c r="AP39" s="417"/>
      <c r="AQ39" s="417"/>
      <c r="AR39" s="417"/>
      <c r="AS39" s="417"/>
      <c r="AT39" s="418"/>
      <c r="AU39" s="10"/>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row>
    <row r="40" spans="1:80" ht="15" customHeight="1" x14ac:dyDescent="0.25">
      <c r="A40" s="10"/>
      <c r="B40" s="343"/>
      <c r="C40" s="343"/>
      <c r="D40" s="344"/>
      <c r="E40" s="384"/>
      <c r="F40" s="385"/>
      <c r="G40" s="385"/>
      <c r="H40" s="385"/>
      <c r="I40" s="401"/>
      <c r="J40" s="70" t="str">
        <f>IF(AND('Mapa DIGSA'!$AD$36="Baja",'Mapa DIGSA'!$AF$36="Leve"),CONCATENATE("R5C",'Mapa DIGSA'!$T$36),"")</f>
        <v/>
      </c>
      <c r="K40" s="71" t="str">
        <f>IF(AND('Mapa DIGSA'!$AD$37="Baja",'Mapa DIGSA'!$AF$37="Leve"),CONCATENATE("R5C",'Mapa DIGSA'!$T$37),"")</f>
        <v/>
      </c>
      <c r="L40" s="71" t="str">
        <f>IF(AND('Mapa DIGSA'!$AD$38="Baja",'Mapa DIGSA'!$AF$38="Leve"),CONCATENATE("R5C",'Mapa DIGSA'!$T$38),"")</f>
        <v/>
      </c>
      <c r="M40" s="71" t="str">
        <f>IF(AND('Mapa DIGSA'!$AD$39="Baja",'Mapa DIGSA'!$AF$39="Leve"),CONCATENATE("R5C",'Mapa DIGSA'!$T$39),"")</f>
        <v/>
      </c>
      <c r="N40" s="71" t="str">
        <f>IF(AND('Mapa DIGSA'!$AD$40="Baja",'Mapa DIGSA'!$AF$40="Leve"),CONCATENATE("R5C",'Mapa DIGSA'!$T$40),"")</f>
        <v/>
      </c>
      <c r="O40" s="72" t="str">
        <f>IF(AND('Mapa DIGSA'!$AD$41="Baja",'Mapa DIGSA'!$AF$41="Leve"),CONCATENATE("R5C",'Mapa DIGSA'!$T$41),"")</f>
        <v/>
      </c>
      <c r="P40" s="61" t="str">
        <f>IF(AND('Mapa DIGSA'!$AD$36="Baja",'Mapa DIGSA'!$AF$36="Menor"),CONCATENATE("R5C",'Mapa DIGSA'!$T$36),"")</f>
        <v/>
      </c>
      <c r="Q40" s="62" t="str">
        <f>IF(AND('Mapa DIGSA'!$AD$37="Baja",'Mapa DIGSA'!$AF$37="Menor"),CONCATENATE("R5C",'Mapa DIGSA'!$T$37),"")</f>
        <v/>
      </c>
      <c r="R40" s="62" t="str">
        <f>IF(AND('Mapa DIGSA'!$AD$38="Baja",'Mapa DIGSA'!$AF$38="Menor"),CONCATENATE("R5C",'Mapa DIGSA'!$T$38),"")</f>
        <v/>
      </c>
      <c r="S40" s="62" t="str">
        <f>IF(AND('Mapa DIGSA'!$AD$39="Baja",'Mapa DIGSA'!$AF$39="Menor"),CONCATENATE("R5C",'Mapa DIGSA'!$T$39),"")</f>
        <v/>
      </c>
      <c r="T40" s="62" t="str">
        <f>IF(AND('Mapa DIGSA'!$AD$40="Baja",'Mapa DIGSA'!$AF$40="Menor"),CONCATENATE("R5C",'Mapa DIGSA'!$T$40),"")</f>
        <v/>
      </c>
      <c r="U40" s="63" t="str">
        <f>IF(AND('Mapa DIGSA'!$AD$41="Baja",'Mapa DIGSA'!$AF$41="Menor"),CONCATENATE("R5C",'Mapa DIGSA'!$T$41),"")</f>
        <v/>
      </c>
      <c r="V40" s="61" t="str">
        <f>IF(AND('Mapa DIGSA'!$AD$36="Baja",'Mapa DIGSA'!$AF$36="Moderado"),CONCATENATE("R5C",'Mapa DIGSA'!$T$36),"")</f>
        <v>R5C1</v>
      </c>
      <c r="W40" s="62" t="str">
        <f>IF(AND('Mapa DIGSA'!$AD$37="Baja",'Mapa DIGSA'!$AF$37="Moderado"),CONCATENATE("R5C",'Mapa DIGSA'!$T$37),"")</f>
        <v>R5C2</v>
      </c>
      <c r="X40" s="62" t="str">
        <f>IF(AND('Mapa DIGSA'!$AD$38="Baja",'Mapa DIGSA'!$AF$38="Moderado"),CONCATENATE("R5C",'Mapa DIGSA'!$T$38),"")</f>
        <v/>
      </c>
      <c r="Y40" s="62" t="str">
        <f>IF(AND('Mapa DIGSA'!$AD$39="Baja",'Mapa DIGSA'!$AF$39="Moderado"),CONCATENATE("R5C",'Mapa DIGSA'!$T$39),"")</f>
        <v/>
      </c>
      <c r="Z40" s="62" t="str">
        <f>IF(AND('Mapa DIGSA'!$AD$40="Baja",'Mapa DIGSA'!$AF$40="Moderado"),CONCATENATE("R5C",'Mapa DIGSA'!$T$40),"")</f>
        <v/>
      </c>
      <c r="AA40" s="63" t="str">
        <f>IF(AND('Mapa DIGSA'!$AD$41="Baja",'Mapa DIGSA'!$AF$41="Moderado"),CONCATENATE("R5C",'Mapa DIGSA'!$T$41),"")</f>
        <v/>
      </c>
      <c r="AB40" s="45" t="str">
        <f>IF(AND('Mapa DIGSA'!$AD$36="Baja",'Mapa DIGSA'!$AF$36="Mayor"),CONCATENATE("R5C",'Mapa DIGSA'!$T$36),"")</f>
        <v/>
      </c>
      <c r="AC40" s="46" t="str">
        <f>IF(AND('Mapa DIGSA'!$AD$37="Baja",'Mapa DIGSA'!$AF$37="Mayor"),CONCATENATE("R5C",'Mapa DIGSA'!$T$37),"")</f>
        <v/>
      </c>
      <c r="AD40" s="51" t="str">
        <f>IF(AND('Mapa DIGSA'!$AD$38="Baja",'Mapa DIGSA'!$AF$38="Mayor"),CONCATENATE("R5C",'Mapa DIGSA'!$T$38),"")</f>
        <v/>
      </c>
      <c r="AE40" s="51" t="str">
        <f>IF(AND('Mapa DIGSA'!$AD$39="Baja",'Mapa DIGSA'!$AF$39="Mayor"),CONCATENATE("R5C",'Mapa DIGSA'!$T$39),"")</f>
        <v/>
      </c>
      <c r="AF40" s="51" t="str">
        <f>IF(AND('Mapa DIGSA'!$AD$40="Baja",'Mapa DIGSA'!$AF$40="Mayor"),CONCATENATE("R5C",'Mapa DIGSA'!$T$40),"")</f>
        <v/>
      </c>
      <c r="AG40" s="47" t="str">
        <f>IF(AND('Mapa DIGSA'!$AD$41="Baja",'Mapa DIGSA'!$AF$41="Mayor"),CONCATENATE("R5C",'Mapa DIGSA'!$T$41),"")</f>
        <v/>
      </c>
      <c r="AH40" s="48" t="str">
        <f>IF(AND('Mapa DIGSA'!$AD$36="Baja",'Mapa DIGSA'!$AF$36="Catastrófico"),CONCATENATE("R5C",'Mapa DIGSA'!$T$36),"")</f>
        <v/>
      </c>
      <c r="AI40" s="49" t="str">
        <f>IF(AND('Mapa DIGSA'!$AD$37="Baja",'Mapa DIGSA'!$AF$37="Catastrófico"),CONCATENATE("R5C",'Mapa DIGSA'!$T$37),"")</f>
        <v/>
      </c>
      <c r="AJ40" s="49" t="str">
        <f>IF(AND('Mapa DIGSA'!$AD$38="Baja",'Mapa DIGSA'!$AF$38="Catastrófico"),CONCATENATE("R5C",'Mapa DIGSA'!$T$38),"")</f>
        <v/>
      </c>
      <c r="AK40" s="49" t="str">
        <f>IF(AND('Mapa DIGSA'!$AD$39="Baja",'Mapa DIGSA'!$AF$39="Catastrófico"),CONCATENATE("R5C",'Mapa DIGSA'!$T$39),"")</f>
        <v/>
      </c>
      <c r="AL40" s="49" t="str">
        <f>IF(AND('Mapa DIGSA'!$AD$40="Baja",'Mapa DIGSA'!$AF$40="Catastrófico"),CONCATENATE("R5C",'Mapa DIGSA'!$T$40),"")</f>
        <v/>
      </c>
      <c r="AM40" s="50" t="str">
        <f>IF(AND('Mapa DIGSA'!$AD$41="Baja",'Mapa DIGSA'!$AF$41="Catastrófico"),CONCATENATE("R5C",'Mapa DIGSA'!$T$41),"")</f>
        <v/>
      </c>
      <c r="AN40" s="10"/>
      <c r="AO40" s="416"/>
      <c r="AP40" s="417"/>
      <c r="AQ40" s="417"/>
      <c r="AR40" s="417"/>
      <c r="AS40" s="417"/>
      <c r="AT40" s="418"/>
      <c r="AU40" s="10"/>
      <c r="AV40" s="10"/>
      <c r="AW40" s="10"/>
      <c r="AX40" s="10"/>
      <c r="AY40" s="10"/>
      <c r="AZ40" s="10"/>
      <c r="BA40" s="10"/>
      <c r="BB40" s="10"/>
      <c r="BC40" s="10"/>
      <c r="BD40" s="10"/>
      <c r="BE40" s="10"/>
      <c r="BF40" s="10"/>
      <c r="BG40" s="10"/>
      <c r="BH40" s="10"/>
      <c r="BI40" s="10"/>
      <c r="BJ40" s="10"/>
      <c r="BK40" s="10"/>
      <c r="BL40" s="10"/>
      <c r="BM40" s="10"/>
      <c r="BN40" s="10"/>
      <c r="BO40" s="10"/>
      <c r="BP40" s="10"/>
      <c r="BQ40" s="10"/>
      <c r="BR40" s="10"/>
      <c r="BS40" s="10"/>
      <c r="BT40" s="10"/>
      <c r="BU40" s="10"/>
      <c r="BV40" s="10"/>
      <c r="BW40" s="10"/>
      <c r="BX40" s="10"/>
    </row>
    <row r="41" spans="1:80" ht="15" customHeight="1" x14ac:dyDescent="0.25">
      <c r="A41" s="10"/>
      <c r="B41" s="343"/>
      <c r="C41" s="343"/>
      <c r="D41" s="344"/>
      <c r="E41" s="384"/>
      <c r="F41" s="385"/>
      <c r="G41" s="385"/>
      <c r="H41" s="385"/>
      <c r="I41" s="401"/>
      <c r="J41" s="70" t="str">
        <f>IF(AND('Mapa DIGSA'!$AD$42="Baja",'Mapa DIGSA'!$AF$42="Leve"),CONCATENATE("R6C",'Mapa DIGSA'!$T$42),"")</f>
        <v/>
      </c>
      <c r="K41" s="71" t="str">
        <f>IF(AND('Mapa DIGSA'!$AD$43="Baja",'Mapa DIGSA'!$AF$43="Leve"),CONCATENATE("R6C",'Mapa DIGSA'!$T$43),"")</f>
        <v/>
      </c>
      <c r="L41" s="71" t="str">
        <f>IF(AND('Mapa DIGSA'!$AD$44="Baja",'Mapa DIGSA'!$AF$44="Leve"),CONCATENATE("R6C",'Mapa DIGSA'!$T$44),"")</f>
        <v/>
      </c>
      <c r="M41" s="71" t="str">
        <f>IF(AND('Mapa DIGSA'!$AD$45="Baja",'Mapa DIGSA'!$AF$45="Leve"),CONCATENATE("R6C",'Mapa DIGSA'!$T$45),"")</f>
        <v/>
      </c>
      <c r="N41" s="71" t="str">
        <f>IF(AND('Mapa DIGSA'!$AD$46="Baja",'Mapa DIGSA'!$AF$46="Leve"),CONCATENATE("R6C",'Mapa DIGSA'!$T$46),"")</f>
        <v/>
      </c>
      <c r="O41" s="72" t="str">
        <f>IF(AND('Mapa DIGSA'!$AD$47="Baja",'Mapa DIGSA'!$AF$47="Leve"),CONCATENATE("R6C",'Mapa DIGSA'!$T$47),"")</f>
        <v/>
      </c>
      <c r="P41" s="61" t="str">
        <f>IF(AND('Mapa DIGSA'!$AD$42="Baja",'Mapa DIGSA'!$AF$42="Menor"),CONCATENATE("R6C",'Mapa DIGSA'!$T$42),"")</f>
        <v/>
      </c>
      <c r="Q41" s="62" t="str">
        <f>IF(AND('Mapa DIGSA'!$AD$43="Baja",'Mapa DIGSA'!$AF$43="Menor"),CONCATENATE("R6C",'Mapa DIGSA'!$T$43),"")</f>
        <v/>
      </c>
      <c r="R41" s="62" t="str">
        <f>IF(AND('Mapa DIGSA'!$AD$44="Baja",'Mapa DIGSA'!$AF$44="Menor"),CONCATENATE("R6C",'Mapa DIGSA'!$T$44),"")</f>
        <v/>
      </c>
      <c r="S41" s="62" t="str">
        <f>IF(AND('Mapa DIGSA'!$AD$45="Baja",'Mapa DIGSA'!$AF$45="Menor"),CONCATENATE("R6C",'Mapa DIGSA'!$T$45),"")</f>
        <v/>
      </c>
      <c r="T41" s="62" t="str">
        <f>IF(AND('Mapa DIGSA'!$AD$46="Baja",'Mapa DIGSA'!$AF$46="Menor"),CONCATENATE("R6C",'Mapa DIGSA'!$T$46),"")</f>
        <v/>
      </c>
      <c r="U41" s="63" t="str">
        <f>IF(AND('Mapa DIGSA'!$AD$47="Baja",'Mapa DIGSA'!$AF$47="Menor"),CONCATENATE("R6C",'Mapa DIGSA'!$T$47),"")</f>
        <v/>
      </c>
      <c r="V41" s="61" t="str">
        <f>IF(AND('Mapa DIGSA'!$AD$42="Baja",'Mapa DIGSA'!$AF$42="Moderado"),CONCATENATE("R6C",'Mapa DIGSA'!$T$42),"")</f>
        <v/>
      </c>
      <c r="W41" s="62" t="str">
        <f>IF(AND('Mapa DIGSA'!$AD$43="Baja",'Mapa DIGSA'!$AF$43="Moderado"),CONCATENATE("R6C",'Mapa DIGSA'!$T$43),"")</f>
        <v/>
      </c>
      <c r="X41" s="62" t="str">
        <f>IF(AND('Mapa DIGSA'!$AD$44="Baja",'Mapa DIGSA'!$AF$44="Moderado"),CONCATENATE("R6C",'Mapa DIGSA'!$T$44),"")</f>
        <v/>
      </c>
      <c r="Y41" s="62" t="str">
        <f>IF(AND('Mapa DIGSA'!$AD$45="Baja",'Mapa DIGSA'!$AF$45="Moderado"),CONCATENATE("R6C",'Mapa DIGSA'!$T$45),"")</f>
        <v/>
      </c>
      <c r="Z41" s="62" t="str">
        <f>IF(AND('Mapa DIGSA'!$AD$46="Baja",'Mapa DIGSA'!$AF$46="Moderado"),CONCATENATE("R6C",'Mapa DIGSA'!$T$46),"")</f>
        <v/>
      </c>
      <c r="AA41" s="63" t="str">
        <f>IF(AND('Mapa DIGSA'!$AD$47="Baja",'Mapa DIGSA'!$AF$47="Moderado"),CONCATENATE("R6C",'Mapa DIGSA'!$T$47),"")</f>
        <v/>
      </c>
      <c r="AB41" s="45" t="str">
        <f>IF(AND('Mapa DIGSA'!$AD$42="Baja",'Mapa DIGSA'!$AF$42="Mayor"),CONCATENATE("R6C",'Mapa DIGSA'!$T$42),"")</f>
        <v>R6C1</v>
      </c>
      <c r="AC41" s="46" t="str">
        <f>IF(AND('Mapa DIGSA'!$AD$43="Baja",'Mapa DIGSA'!$AF$43="Mayor"),CONCATENATE("R6C",'Mapa DIGSA'!$T$43),"")</f>
        <v>R6C2</v>
      </c>
      <c r="AD41" s="51" t="str">
        <f>IF(AND('Mapa DIGSA'!$AD$44="Baja",'Mapa DIGSA'!$AF$44="Mayor"),CONCATENATE("R6C",'Mapa DIGSA'!$T$44),"")</f>
        <v/>
      </c>
      <c r="AE41" s="51" t="str">
        <f>IF(AND('Mapa DIGSA'!$AD$45="Baja",'Mapa DIGSA'!$AF$45="Mayor"),CONCATENATE("R6C",'Mapa DIGSA'!$T$45),"")</f>
        <v/>
      </c>
      <c r="AF41" s="51" t="str">
        <f>IF(AND('Mapa DIGSA'!$AD$46="Baja",'Mapa DIGSA'!$AF$46="Mayor"),CONCATENATE("R6C",'Mapa DIGSA'!$T$46),"")</f>
        <v/>
      </c>
      <c r="AG41" s="47" t="str">
        <f>IF(AND('Mapa DIGSA'!$AD$47="Baja",'Mapa DIGSA'!$AF$47="Mayor"),CONCATENATE("R6C",'Mapa DIGSA'!$T$47),"")</f>
        <v/>
      </c>
      <c r="AH41" s="48" t="str">
        <f>IF(AND('Mapa DIGSA'!$AD$42="Baja",'Mapa DIGSA'!$AF$42="Catastrófico"),CONCATENATE("R6C",'Mapa DIGSA'!$T$42),"")</f>
        <v/>
      </c>
      <c r="AI41" s="49" t="str">
        <f>IF(AND('Mapa DIGSA'!$AD$43="Baja",'Mapa DIGSA'!$AF$43="Catastrófico"),CONCATENATE("R6C",'Mapa DIGSA'!$T$43),"")</f>
        <v/>
      </c>
      <c r="AJ41" s="49" t="str">
        <f>IF(AND('Mapa DIGSA'!$AD$44="Baja",'Mapa DIGSA'!$AF$44="Catastrófico"),CONCATENATE("R6C",'Mapa DIGSA'!$T$44),"")</f>
        <v/>
      </c>
      <c r="AK41" s="49" t="str">
        <f>IF(AND('Mapa DIGSA'!$AD$45="Baja",'Mapa DIGSA'!$AF$45="Catastrófico"),CONCATENATE("R6C",'Mapa DIGSA'!$T$45),"")</f>
        <v/>
      </c>
      <c r="AL41" s="49" t="str">
        <f>IF(AND('Mapa DIGSA'!$AD$46="Baja",'Mapa DIGSA'!$AF$46="Catastrófico"),CONCATENATE("R6C",'Mapa DIGSA'!$T$46),"")</f>
        <v/>
      </c>
      <c r="AM41" s="50" t="str">
        <f>IF(AND('Mapa DIGSA'!$AD$47="Baja",'Mapa DIGSA'!$AF$47="Catastrófico"),CONCATENATE("R6C",'Mapa DIGSA'!$T$47),"")</f>
        <v/>
      </c>
      <c r="AN41" s="10"/>
      <c r="AO41" s="416"/>
      <c r="AP41" s="417"/>
      <c r="AQ41" s="417"/>
      <c r="AR41" s="417"/>
      <c r="AS41" s="417"/>
      <c r="AT41" s="418"/>
      <c r="AU41" s="10"/>
      <c r="AV41" s="10"/>
      <c r="AW41" s="10"/>
      <c r="AX41" s="10"/>
      <c r="AY41" s="10"/>
      <c r="AZ41" s="10"/>
      <c r="BA41" s="10"/>
      <c r="BB41" s="10"/>
      <c r="BC41" s="10"/>
      <c r="BD41" s="10"/>
      <c r="BE41" s="10"/>
      <c r="BF41" s="10"/>
      <c r="BG41" s="10"/>
      <c r="BH41" s="10"/>
      <c r="BI41" s="10"/>
      <c r="BJ41" s="10"/>
      <c r="BK41" s="10"/>
      <c r="BL41" s="10"/>
      <c r="BM41" s="10"/>
      <c r="BN41" s="10"/>
      <c r="BO41" s="10"/>
      <c r="BP41" s="10"/>
      <c r="BQ41" s="10"/>
      <c r="BR41" s="10"/>
      <c r="BS41" s="10"/>
      <c r="BT41" s="10"/>
      <c r="BU41" s="10"/>
      <c r="BV41" s="10"/>
      <c r="BW41" s="10"/>
      <c r="BX41" s="10"/>
    </row>
    <row r="42" spans="1:80" ht="15" customHeight="1" x14ac:dyDescent="0.25">
      <c r="A42" s="10"/>
      <c r="B42" s="343"/>
      <c r="C42" s="343"/>
      <c r="D42" s="344"/>
      <c r="E42" s="384"/>
      <c r="F42" s="385"/>
      <c r="G42" s="385"/>
      <c r="H42" s="385"/>
      <c r="I42" s="401"/>
      <c r="J42" s="70" t="str">
        <f>IF(AND('Mapa DIGSA'!$AD$48="Baja",'Mapa DIGSA'!$AF$48="Leve"),CONCATENATE("R7C",'Mapa DIGSA'!$T$48),"")</f>
        <v/>
      </c>
      <c r="K42" s="71" t="str">
        <f>IF(AND('Mapa DIGSA'!$AD$49="Baja",'Mapa DIGSA'!$AF$49="Leve"),CONCATENATE("R7C",'Mapa DIGSA'!$T$49),"")</f>
        <v/>
      </c>
      <c r="L42" s="71" t="str">
        <f>IF(AND('Mapa DIGSA'!$AD$50="Baja",'Mapa DIGSA'!$AF$50="Leve"),CONCATENATE("R7C",'Mapa DIGSA'!$T$50),"")</f>
        <v/>
      </c>
      <c r="M42" s="71" t="str">
        <f>IF(AND('Mapa DIGSA'!$AD$51="Baja",'Mapa DIGSA'!$AF$51="Leve"),CONCATENATE("R7C",'Mapa DIGSA'!$T$51),"")</f>
        <v/>
      </c>
      <c r="N42" s="71" t="str">
        <f>IF(AND('Mapa DIGSA'!$AD$52="Baja",'Mapa DIGSA'!$AF$52="Leve"),CONCATENATE("R7C",'Mapa DIGSA'!$T$52),"")</f>
        <v/>
      </c>
      <c r="O42" s="72" t="str">
        <f>IF(AND('Mapa DIGSA'!$AD$53="Baja",'Mapa DIGSA'!$AF$53="Leve"),CONCATENATE("R7C",'Mapa DIGSA'!$T$53),"")</f>
        <v/>
      </c>
      <c r="P42" s="61" t="str">
        <f>IF(AND('Mapa DIGSA'!$AD$48="Baja",'Mapa DIGSA'!$AF$48="Menor"),CONCATENATE("R7C",'Mapa DIGSA'!$T$48),"")</f>
        <v/>
      </c>
      <c r="Q42" s="62" t="str">
        <f>IF(AND('Mapa DIGSA'!$AD$49="Baja",'Mapa DIGSA'!$AF$49="Menor"),CONCATENATE("R7C",'Mapa DIGSA'!$T$49),"")</f>
        <v/>
      </c>
      <c r="R42" s="62" t="str">
        <f>IF(AND('Mapa DIGSA'!$AD$50="Baja",'Mapa DIGSA'!$AF$50="Menor"),CONCATENATE("R7C",'Mapa DIGSA'!$T$50),"")</f>
        <v/>
      </c>
      <c r="S42" s="62" t="str">
        <f>IF(AND('Mapa DIGSA'!$AD$51="Baja",'Mapa DIGSA'!$AF$51="Menor"),CONCATENATE("R7C",'Mapa DIGSA'!$T$51),"")</f>
        <v/>
      </c>
      <c r="T42" s="62" t="str">
        <f>IF(AND('Mapa DIGSA'!$AD$52="Baja",'Mapa DIGSA'!$AF$52="Menor"),CONCATENATE("R7C",'Mapa DIGSA'!$T$52),"")</f>
        <v/>
      </c>
      <c r="U42" s="63" t="str">
        <f>IF(AND('Mapa DIGSA'!$AD$53="Baja",'Mapa DIGSA'!$AF$53="Menor"),CONCATENATE("R7C",'Mapa DIGSA'!$T$53),"")</f>
        <v/>
      </c>
      <c r="V42" s="61" t="str">
        <f>IF(AND('Mapa DIGSA'!$AD$48="Baja",'Mapa DIGSA'!$AF$48="Moderado"),CONCATENATE("R7C",'Mapa DIGSA'!$T$48),"")</f>
        <v/>
      </c>
      <c r="W42" s="62" t="str">
        <f>IF(AND('Mapa DIGSA'!$AD$49="Baja",'Mapa DIGSA'!$AF$49="Moderado"),CONCATENATE("R7C",'Mapa DIGSA'!$T$49),"")</f>
        <v/>
      </c>
      <c r="X42" s="62" t="str">
        <f>IF(AND('Mapa DIGSA'!$AD$50="Baja",'Mapa DIGSA'!$AF$50="Moderado"),CONCATENATE("R7C",'Mapa DIGSA'!$T$50),"")</f>
        <v/>
      </c>
      <c r="Y42" s="62" t="str">
        <f>IF(AND('Mapa DIGSA'!$AD$51="Baja",'Mapa DIGSA'!$AF$51="Moderado"),CONCATENATE("R7C",'Mapa DIGSA'!$T$51),"")</f>
        <v/>
      </c>
      <c r="Z42" s="62" t="str">
        <f>IF(AND('Mapa DIGSA'!$AD$52="Baja",'Mapa DIGSA'!$AF$52="Moderado"),CONCATENATE("R7C",'Mapa DIGSA'!$T$52),"")</f>
        <v/>
      </c>
      <c r="AA42" s="63" t="str">
        <f>IF(AND('Mapa DIGSA'!$AD$53="Baja",'Mapa DIGSA'!$AF$53="Moderado"),CONCATENATE("R7C",'Mapa DIGSA'!$T$53),"")</f>
        <v/>
      </c>
      <c r="AB42" s="45" t="str">
        <f>IF(AND('Mapa DIGSA'!$AD$48="Baja",'Mapa DIGSA'!$AF$48="Mayor"),CONCATENATE("R7C",'Mapa DIGSA'!$T$48),"")</f>
        <v>R7C1</v>
      </c>
      <c r="AC42" s="46" t="str">
        <f>IF(AND('Mapa DIGSA'!$AD$49="Baja",'Mapa DIGSA'!$AF$49="Mayor"),CONCATENATE("R7C",'Mapa DIGSA'!$T$49),"")</f>
        <v>R7C2</v>
      </c>
      <c r="AD42" s="51" t="str">
        <f>IF(AND('Mapa DIGSA'!$AD$50="Baja",'Mapa DIGSA'!$AF$50="Mayor"),CONCATENATE("R7C",'Mapa DIGSA'!$T$50),"")</f>
        <v/>
      </c>
      <c r="AE42" s="51" t="str">
        <f>IF(AND('Mapa DIGSA'!$AD$51="Baja",'Mapa DIGSA'!$AF$51="Mayor"),CONCATENATE("R7C",'Mapa DIGSA'!$T$51),"")</f>
        <v/>
      </c>
      <c r="AF42" s="51" t="str">
        <f>IF(AND('Mapa DIGSA'!$AD$52="Baja",'Mapa DIGSA'!$AF$52="Mayor"),CONCATENATE("R7C",'Mapa DIGSA'!$T$52),"")</f>
        <v/>
      </c>
      <c r="AG42" s="47" t="str">
        <f>IF(AND('Mapa DIGSA'!$AD$53="Baja",'Mapa DIGSA'!$AF$53="Mayor"),CONCATENATE("R7C",'Mapa DIGSA'!$T$53),"")</f>
        <v/>
      </c>
      <c r="AH42" s="48" t="str">
        <f>IF(AND('Mapa DIGSA'!$AD$48="Baja",'Mapa DIGSA'!$AF$48="Catastrófico"),CONCATENATE("R7C",'Mapa DIGSA'!$T$48),"")</f>
        <v/>
      </c>
      <c r="AI42" s="49" t="str">
        <f>IF(AND('Mapa DIGSA'!$AD$49="Baja",'Mapa DIGSA'!$AF$49="Catastrófico"),CONCATENATE("R7C",'Mapa DIGSA'!$T$49),"")</f>
        <v/>
      </c>
      <c r="AJ42" s="49" t="str">
        <f>IF(AND('Mapa DIGSA'!$AD$50="Baja",'Mapa DIGSA'!$AF$50="Catastrófico"),CONCATENATE("R7C",'Mapa DIGSA'!$T$50),"")</f>
        <v/>
      </c>
      <c r="AK42" s="49" t="str">
        <f>IF(AND('Mapa DIGSA'!$AD$51="Baja",'Mapa DIGSA'!$AF$51="Catastrófico"),CONCATENATE("R7C",'Mapa DIGSA'!$T$51),"")</f>
        <v/>
      </c>
      <c r="AL42" s="49" t="str">
        <f>IF(AND('Mapa DIGSA'!$AD$52="Baja",'Mapa DIGSA'!$AF$52="Catastrófico"),CONCATENATE("R7C",'Mapa DIGSA'!$T$52),"")</f>
        <v/>
      </c>
      <c r="AM42" s="50" t="str">
        <f>IF(AND('Mapa DIGSA'!$AD$53="Baja",'Mapa DIGSA'!$AF$53="Catastrófico"),CONCATENATE("R7C",'Mapa DIGSA'!$T$53),"")</f>
        <v/>
      </c>
      <c r="AN42" s="10"/>
      <c r="AO42" s="416"/>
      <c r="AP42" s="417"/>
      <c r="AQ42" s="417"/>
      <c r="AR42" s="417"/>
      <c r="AS42" s="417"/>
      <c r="AT42" s="418"/>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row>
    <row r="43" spans="1:80" ht="15" customHeight="1" x14ac:dyDescent="0.25">
      <c r="A43" s="10"/>
      <c r="B43" s="343"/>
      <c r="C43" s="343"/>
      <c r="D43" s="344"/>
      <c r="E43" s="384"/>
      <c r="F43" s="385"/>
      <c r="G43" s="385"/>
      <c r="H43" s="385"/>
      <c r="I43" s="401"/>
      <c r="J43" s="70" t="str">
        <f>IF(AND('Mapa DIGSA'!$AD$54="Baja",'Mapa DIGSA'!$AF$54="Leve"),CONCATENATE("R8C",'Mapa DIGSA'!$T$54),"")</f>
        <v/>
      </c>
      <c r="K43" s="71" t="str">
        <f>IF(AND('Mapa DIGSA'!$AD$55="Baja",'Mapa DIGSA'!$AF$55="Leve"),CONCATENATE("R8C",'Mapa DIGSA'!$T$55),"")</f>
        <v/>
      </c>
      <c r="L43" s="71" t="str">
        <f>IF(AND('Mapa DIGSA'!$AD$56="Baja",'Mapa DIGSA'!$AF$56="Leve"),CONCATENATE("R8C",'Mapa DIGSA'!$T$56),"")</f>
        <v/>
      </c>
      <c r="M43" s="71" t="str">
        <f>IF(AND('Mapa DIGSA'!$AD$57="Baja",'Mapa DIGSA'!$AF$57="Leve"),CONCATENATE("R8C",'Mapa DIGSA'!$T$57),"")</f>
        <v/>
      </c>
      <c r="N43" s="71" t="str">
        <f>IF(AND('Mapa DIGSA'!$AD$58="Baja",'Mapa DIGSA'!$AF$58="Leve"),CONCATENATE("R8C",'Mapa DIGSA'!$T$58),"")</f>
        <v/>
      </c>
      <c r="O43" s="72" t="str">
        <f>IF(AND('Mapa DIGSA'!$AD$59="Baja",'Mapa DIGSA'!$AF$59="Leve"),CONCATENATE("R8C",'Mapa DIGSA'!$T$59),"")</f>
        <v/>
      </c>
      <c r="P43" s="61" t="str">
        <f>IF(AND('Mapa DIGSA'!$AD$54="Baja",'Mapa DIGSA'!$AF$54="Menor"),CONCATENATE("R8C",'Mapa DIGSA'!$T$54),"")</f>
        <v/>
      </c>
      <c r="Q43" s="62" t="str">
        <f>IF(AND('Mapa DIGSA'!$AD$55="Baja",'Mapa DIGSA'!$AF$55="Menor"),CONCATENATE("R8C",'Mapa DIGSA'!$T$55),"")</f>
        <v/>
      </c>
      <c r="R43" s="62" t="str">
        <f>IF(AND('Mapa DIGSA'!$AD$56="Baja",'Mapa DIGSA'!$AF$56="Menor"),CONCATENATE("R8C",'Mapa DIGSA'!$T$56),"")</f>
        <v/>
      </c>
      <c r="S43" s="62" t="str">
        <f>IF(AND('Mapa DIGSA'!$AD$57="Baja",'Mapa DIGSA'!$AF$57="Menor"),CONCATENATE("R8C",'Mapa DIGSA'!$T$57),"")</f>
        <v/>
      </c>
      <c r="T43" s="62" t="str">
        <f>IF(AND('Mapa DIGSA'!$AD$58="Baja",'Mapa DIGSA'!$AF$58="Menor"),CONCATENATE("R8C",'Mapa DIGSA'!$T$58),"")</f>
        <v/>
      </c>
      <c r="U43" s="63" t="str">
        <f>IF(AND('Mapa DIGSA'!$AD$59="Baja",'Mapa DIGSA'!$AF$59="Menor"),CONCATENATE("R8C",'Mapa DIGSA'!$T$59),"")</f>
        <v/>
      </c>
      <c r="V43" s="61" t="str">
        <f>IF(AND('Mapa DIGSA'!$AD$54="Baja",'Mapa DIGSA'!$AF$54="Moderado"),CONCATENATE("R8C",'Mapa DIGSA'!$T$54),"")</f>
        <v/>
      </c>
      <c r="W43" s="62" t="str">
        <f>IF(AND('Mapa DIGSA'!$AD$55="Baja",'Mapa DIGSA'!$AF$55="Moderado"),CONCATENATE("R8C",'Mapa DIGSA'!$T$55),"")</f>
        <v/>
      </c>
      <c r="X43" s="62" t="str">
        <f>IF(AND('Mapa DIGSA'!$AD$56="Baja",'Mapa DIGSA'!$AF$56="Moderado"),CONCATENATE("R8C",'Mapa DIGSA'!$T$56),"")</f>
        <v/>
      </c>
      <c r="Y43" s="62" t="str">
        <f>IF(AND('Mapa DIGSA'!$AD$57="Baja",'Mapa DIGSA'!$AF$57="Moderado"),CONCATENATE("R8C",'Mapa DIGSA'!$T$57),"")</f>
        <v/>
      </c>
      <c r="Z43" s="62" t="str">
        <f>IF(AND('Mapa DIGSA'!$AD$58="Baja",'Mapa DIGSA'!$AF$58="Moderado"),CONCATENATE("R8C",'Mapa DIGSA'!$T$58),"")</f>
        <v/>
      </c>
      <c r="AA43" s="63" t="str">
        <f>IF(AND('Mapa DIGSA'!$AD$59="Baja",'Mapa DIGSA'!$AF$59="Moderado"),CONCATENATE("R8C",'Mapa DIGSA'!$T$59),"")</f>
        <v/>
      </c>
      <c r="AB43" s="45" t="str">
        <f>IF(AND('Mapa DIGSA'!$AD$54="Baja",'Mapa DIGSA'!$AF$54="Mayor"),CONCATENATE("R8C",'Mapa DIGSA'!$T$54),"")</f>
        <v/>
      </c>
      <c r="AC43" s="46" t="str">
        <f>IF(AND('Mapa DIGSA'!$AD$55="Baja",'Mapa DIGSA'!$AF$55="Mayor"),CONCATENATE("R8C",'Mapa DIGSA'!$T$55),"")</f>
        <v/>
      </c>
      <c r="AD43" s="51" t="str">
        <f>IF(AND('Mapa DIGSA'!$AD$56="Baja",'Mapa DIGSA'!$AF$56="Mayor"),CONCATENATE("R8C",'Mapa DIGSA'!$T$56),"")</f>
        <v/>
      </c>
      <c r="AE43" s="51" t="str">
        <f>IF(AND('Mapa DIGSA'!$AD$57="Baja",'Mapa DIGSA'!$AF$57="Mayor"),CONCATENATE("R8C",'Mapa DIGSA'!$T$57),"")</f>
        <v/>
      </c>
      <c r="AF43" s="51" t="str">
        <f>IF(AND('Mapa DIGSA'!$AD$58="Baja",'Mapa DIGSA'!$AF$58="Mayor"),CONCATENATE("R8C",'Mapa DIGSA'!$T$58),"")</f>
        <v/>
      </c>
      <c r="AG43" s="47" t="str">
        <f>IF(AND('Mapa DIGSA'!$AD$59="Baja",'Mapa DIGSA'!$AF$59="Mayor"),CONCATENATE("R8C",'Mapa DIGSA'!$T$59),"")</f>
        <v/>
      </c>
      <c r="AH43" s="48" t="str">
        <f>IF(AND('Mapa DIGSA'!$AD$54="Baja",'Mapa DIGSA'!$AF$54="Catastrófico"),CONCATENATE("R8C",'Mapa DIGSA'!$T$54),"")</f>
        <v/>
      </c>
      <c r="AI43" s="49" t="str">
        <f>IF(AND('Mapa DIGSA'!$AD$55="Baja",'Mapa DIGSA'!$AF$55="Catastrófico"),CONCATENATE("R8C",'Mapa DIGSA'!$T$55),"")</f>
        <v>R8C2</v>
      </c>
      <c r="AJ43" s="49" t="str">
        <f>IF(AND('Mapa DIGSA'!$AD$56="Baja",'Mapa DIGSA'!$AF$56="Catastrófico"),CONCATENATE("R8C",'Mapa DIGSA'!$T$56),"")</f>
        <v/>
      </c>
      <c r="AK43" s="49" t="str">
        <f>IF(AND('Mapa DIGSA'!$AD$57="Baja",'Mapa DIGSA'!$AF$57="Catastrófico"),CONCATENATE("R8C",'Mapa DIGSA'!$T$57),"")</f>
        <v/>
      </c>
      <c r="AL43" s="49" t="str">
        <f>IF(AND('Mapa DIGSA'!$AD$58="Baja",'Mapa DIGSA'!$AF$58="Catastrófico"),CONCATENATE("R8C",'Mapa DIGSA'!$T$58),"")</f>
        <v/>
      </c>
      <c r="AM43" s="50" t="str">
        <f>IF(AND('Mapa DIGSA'!$AD$59="Baja",'Mapa DIGSA'!$AF$59="Catastrófico"),CONCATENATE("R8C",'Mapa DIGSA'!$T$59),"")</f>
        <v/>
      </c>
      <c r="AN43" s="10"/>
      <c r="AO43" s="416"/>
      <c r="AP43" s="417"/>
      <c r="AQ43" s="417"/>
      <c r="AR43" s="417"/>
      <c r="AS43" s="417"/>
      <c r="AT43" s="418"/>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row>
    <row r="44" spans="1:80" ht="15" customHeight="1" x14ac:dyDescent="0.25">
      <c r="A44" s="10"/>
      <c r="B44" s="343"/>
      <c r="C44" s="343"/>
      <c r="D44" s="344"/>
      <c r="E44" s="384"/>
      <c r="F44" s="385"/>
      <c r="G44" s="385"/>
      <c r="H44" s="385"/>
      <c r="I44" s="401"/>
      <c r="J44" s="70" t="str">
        <f>IF(AND('Mapa DIGSA'!$AD$60="Baja",'Mapa DIGSA'!$AF$60="Leve"),CONCATENATE("R9C",'Mapa DIGSA'!$T$60),"")</f>
        <v/>
      </c>
      <c r="K44" s="71" t="str">
        <f>IF(AND('Mapa DIGSA'!$AD$61="Baja",'Mapa DIGSA'!$AF$61="Leve"),CONCATENATE("R9C",'Mapa DIGSA'!$T$61),"")</f>
        <v/>
      </c>
      <c r="L44" s="71" t="str">
        <f>IF(AND('Mapa DIGSA'!$AD$62="Baja",'Mapa DIGSA'!$AF$62="Leve"),CONCATENATE("R9C",'Mapa DIGSA'!$T$62),"")</f>
        <v/>
      </c>
      <c r="M44" s="71" t="str">
        <f>IF(AND('Mapa DIGSA'!$AD$63="Baja",'Mapa DIGSA'!$AF$63="Leve"),CONCATENATE("R9C",'Mapa DIGSA'!$T$63),"")</f>
        <v/>
      </c>
      <c r="N44" s="71" t="str">
        <f>IF(AND('Mapa DIGSA'!$AD$64="Baja",'Mapa DIGSA'!$AF$64="Leve"),CONCATENATE("R9C",'Mapa DIGSA'!$T$64),"")</f>
        <v/>
      </c>
      <c r="O44" s="72" t="str">
        <f>IF(AND('Mapa DIGSA'!$AD$65="Baja",'Mapa DIGSA'!$AF$65="Leve"),CONCATENATE("R9C",'Mapa DIGSA'!$T$65),"")</f>
        <v/>
      </c>
      <c r="P44" s="61" t="str">
        <f>IF(AND('Mapa DIGSA'!$AD$60="Baja",'Mapa DIGSA'!$AF$60="Menor"),CONCATENATE("R9C",'Mapa DIGSA'!$T$60),"")</f>
        <v/>
      </c>
      <c r="Q44" s="62" t="str">
        <f>IF(AND('Mapa DIGSA'!$AD$61="Baja",'Mapa DIGSA'!$AF$61="Menor"),CONCATENATE("R9C",'Mapa DIGSA'!$T$61),"")</f>
        <v/>
      </c>
      <c r="R44" s="62" t="str">
        <f>IF(AND('Mapa DIGSA'!$AD$62="Baja",'Mapa DIGSA'!$AF$62="Menor"),CONCATENATE("R9C",'Mapa DIGSA'!$T$62),"")</f>
        <v/>
      </c>
      <c r="S44" s="62" t="str">
        <f>IF(AND('Mapa DIGSA'!$AD$63="Baja",'Mapa DIGSA'!$AF$63="Menor"),CONCATENATE("R9C",'Mapa DIGSA'!$T$63),"")</f>
        <v/>
      </c>
      <c r="T44" s="62" t="str">
        <f>IF(AND('Mapa DIGSA'!$AD$64="Baja",'Mapa DIGSA'!$AF$64="Menor"),CONCATENATE("R9C",'Mapa DIGSA'!$T$64),"")</f>
        <v/>
      </c>
      <c r="U44" s="63" t="str">
        <f>IF(AND('Mapa DIGSA'!$AD$65="Baja",'Mapa DIGSA'!$AF$65="Menor"),CONCATENATE("R9C",'Mapa DIGSA'!$T$65),"")</f>
        <v/>
      </c>
      <c r="V44" s="61" t="str">
        <f>IF(AND('Mapa DIGSA'!$AD$60="Baja",'Mapa DIGSA'!$AF$60="Moderado"),CONCATENATE("R9C",'Mapa DIGSA'!$T$60),"")</f>
        <v/>
      </c>
      <c r="W44" s="62" t="str">
        <f>IF(AND('Mapa DIGSA'!$AD$61="Baja",'Mapa DIGSA'!$AF$61="Moderado"),CONCATENATE("R9C",'Mapa DIGSA'!$T$61),"")</f>
        <v/>
      </c>
      <c r="X44" s="62" t="str">
        <f>IF(AND('Mapa DIGSA'!$AD$62="Baja",'Mapa DIGSA'!$AF$62="Moderado"),CONCATENATE("R9C",'Mapa DIGSA'!$T$62),"")</f>
        <v/>
      </c>
      <c r="Y44" s="62" t="str">
        <f>IF(AND('Mapa DIGSA'!$AD$63="Baja",'Mapa DIGSA'!$AF$63="Moderado"),CONCATENATE("R9C",'Mapa DIGSA'!$T$63),"")</f>
        <v/>
      </c>
      <c r="Z44" s="62" t="str">
        <f>IF(AND('Mapa DIGSA'!$AD$64="Baja",'Mapa DIGSA'!$AF$64="Moderado"),CONCATENATE("R9C",'Mapa DIGSA'!$T$64),"")</f>
        <v/>
      </c>
      <c r="AA44" s="63" t="str">
        <f>IF(AND('Mapa DIGSA'!$AD$65="Baja",'Mapa DIGSA'!$AF$65="Moderado"),CONCATENATE("R9C",'Mapa DIGSA'!$T$65),"")</f>
        <v/>
      </c>
      <c r="AB44" s="45" t="str">
        <f>IF(AND('Mapa DIGSA'!$AD$60="Baja",'Mapa DIGSA'!$AF$60="Mayor"),CONCATENATE("R9C",'Mapa DIGSA'!$T$60),"")</f>
        <v/>
      </c>
      <c r="AC44" s="46" t="str">
        <f>IF(AND('Mapa DIGSA'!$AD$61="Baja",'Mapa DIGSA'!$AF$61="Mayor"),CONCATENATE("R9C",'Mapa DIGSA'!$T$61),"")</f>
        <v/>
      </c>
      <c r="AD44" s="51" t="str">
        <f>IF(AND('Mapa DIGSA'!$AD$62="Baja",'Mapa DIGSA'!$AF$62="Mayor"),CONCATENATE("R9C",'Mapa DIGSA'!$T$62),"")</f>
        <v/>
      </c>
      <c r="AE44" s="51" t="str">
        <f>IF(AND('Mapa DIGSA'!$AD$63="Baja",'Mapa DIGSA'!$AF$63="Mayor"),CONCATENATE("R9C",'Mapa DIGSA'!$T$63),"")</f>
        <v/>
      </c>
      <c r="AF44" s="51" t="str">
        <f>IF(AND('Mapa DIGSA'!$AD$64="Baja",'Mapa DIGSA'!$AF$64="Mayor"),CONCATENATE("R9C",'Mapa DIGSA'!$T$64),"")</f>
        <v/>
      </c>
      <c r="AG44" s="47" t="str">
        <f>IF(AND('Mapa DIGSA'!$AD$65="Baja",'Mapa DIGSA'!$AF$65="Mayor"),CONCATENATE("R9C",'Mapa DIGSA'!$T$65),"")</f>
        <v/>
      </c>
      <c r="AH44" s="48" t="str">
        <f>IF(AND('Mapa DIGSA'!$AD$60="Baja",'Mapa DIGSA'!$AF$60="Catastrófico"),CONCATENATE("R9C",'Mapa DIGSA'!$T$60),"")</f>
        <v>R9C1</v>
      </c>
      <c r="AI44" s="49" t="str">
        <f>IF(AND('Mapa DIGSA'!$AD$61="Baja",'Mapa DIGSA'!$AF$61="Catastrófico"),CONCATENATE("R9C",'Mapa DIGSA'!$T$61),"")</f>
        <v>R9C2</v>
      </c>
      <c r="AJ44" s="49" t="str">
        <f>IF(AND('Mapa DIGSA'!$AD$62="Baja",'Mapa DIGSA'!$AF$62="Catastrófico"),CONCATENATE("R9C",'Mapa DIGSA'!$T$62),"")</f>
        <v/>
      </c>
      <c r="AK44" s="49" t="str">
        <f>IF(AND('Mapa DIGSA'!$AD$63="Baja",'Mapa DIGSA'!$AF$63="Catastrófico"),CONCATENATE("R9C",'Mapa DIGSA'!$T$63),"")</f>
        <v/>
      </c>
      <c r="AL44" s="49" t="str">
        <f>IF(AND('Mapa DIGSA'!$AD$64="Baja",'Mapa DIGSA'!$AF$64="Catastrófico"),CONCATENATE("R9C",'Mapa DIGSA'!$T$64),"")</f>
        <v/>
      </c>
      <c r="AM44" s="50" t="str">
        <f>IF(AND('Mapa DIGSA'!$AD$65="Baja",'Mapa DIGSA'!$AF$65="Catastrófico"),CONCATENATE("R9C",'Mapa DIGSA'!$T$65),"")</f>
        <v/>
      </c>
      <c r="AN44" s="10"/>
      <c r="AO44" s="416"/>
      <c r="AP44" s="417"/>
      <c r="AQ44" s="417"/>
      <c r="AR44" s="417"/>
      <c r="AS44" s="417"/>
      <c r="AT44" s="418"/>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row>
    <row r="45" spans="1:80" ht="15.75" customHeight="1" thickBot="1" x14ac:dyDescent="0.3">
      <c r="A45" s="10"/>
      <c r="B45" s="343"/>
      <c r="C45" s="343"/>
      <c r="D45" s="344"/>
      <c r="E45" s="387"/>
      <c r="F45" s="388"/>
      <c r="G45" s="388"/>
      <c r="H45" s="388"/>
      <c r="I45" s="388"/>
      <c r="J45" s="73" t="str">
        <f>IF(AND('Mapa DIGSA'!$AD$66="Baja",'Mapa DIGSA'!$AF$66="Leve"),CONCATENATE("R10C",'Mapa DIGSA'!$T$66),"")</f>
        <v/>
      </c>
      <c r="K45" s="74" t="str">
        <f>IF(AND('Mapa DIGSA'!$AD$67="Baja",'Mapa DIGSA'!$AF$67="Leve"),CONCATENATE("R10C",'Mapa DIGSA'!$T$67),"")</f>
        <v/>
      </c>
      <c r="L45" s="74" t="str">
        <f>IF(AND('Mapa DIGSA'!$AD$68="Baja",'Mapa DIGSA'!$AF$68="Leve"),CONCATENATE("R10C",'Mapa DIGSA'!$T$68),"")</f>
        <v/>
      </c>
      <c r="M45" s="74" t="str">
        <f>IF(AND('Mapa DIGSA'!$AD$69="Baja",'Mapa DIGSA'!$AF$69="Leve"),CONCATENATE("R10C",'Mapa DIGSA'!$T$69),"")</f>
        <v/>
      </c>
      <c r="N45" s="74" t="str">
        <f>IF(AND('Mapa DIGSA'!$AD$70="Baja",'Mapa DIGSA'!$AF$70="Leve"),CONCATENATE("R10C",'Mapa DIGSA'!$T$70),"")</f>
        <v/>
      </c>
      <c r="O45" s="75" t="e">
        <f>IF(AND('Mapa DIGSA'!#REF!="Baja",'Mapa DIGSA'!#REF!="Leve"),CONCATENATE("R10C",'Mapa DIGSA'!#REF!),"")</f>
        <v>#REF!</v>
      </c>
      <c r="P45" s="61" t="str">
        <f>IF(AND('Mapa DIGSA'!$AD$66="Baja",'Mapa DIGSA'!$AF$66="Menor"),CONCATENATE("R10C",'Mapa DIGSA'!$T$66),"")</f>
        <v/>
      </c>
      <c r="Q45" s="62" t="str">
        <f>IF(AND('Mapa DIGSA'!$AD$67="Baja",'Mapa DIGSA'!$AF$67="Menor"),CONCATENATE("R10C",'Mapa DIGSA'!$T$67),"")</f>
        <v/>
      </c>
      <c r="R45" s="62" t="str">
        <f>IF(AND('Mapa DIGSA'!$AD$68="Baja",'Mapa DIGSA'!$AF$68="Menor"),CONCATENATE("R10C",'Mapa DIGSA'!$T$68),"")</f>
        <v/>
      </c>
      <c r="S45" s="62" t="str">
        <f>IF(AND('Mapa DIGSA'!$AD$69="Baja",'Mapa DIGSA'!$AF$69="Menor"),CONCATENATE("R10C",'Mapa DIGSA'!$T$69),"")</f>
        <v/>
      </c>
      <c r="T45" s="62" t="str">
        <f>IF(AND('Mapa DIGSA'!$AD$70="Baja",'Mapa DIGSA'!$AF$70="Menor"),CONCATENATE("R10C",'Mapa DIGSA'!$T$70),"")</f>
        <v/>
      </c>
      <c r="U45" s="63" t="e">
        <f>IF(AND('Mapa DIGSA'!#REF!="Baja",'Mapa DIGSA'!#REF!="Menor"),CONCATENATE("R10C",'Mapa DIGSA'!#REF!),"")</f>
        <v>#REF!</v>
      </c>
      <c r="V45" s="64" t="str">
        <f>IF(AND('Mapa DIGSA'!$AD$66="Baja",'Mapa DIGSA'!$AF$66="Moderado"),CONCATENATE("R10C",'Mapa DIGSA'!$T$66),"")</f>
        <v/>
      </c>
      <c r="W45" s="65" t="str">
        <f>IF(AND('Mapa DIGSA'!$AD$67="Baja",'Mapa DIGSA'!$AF$67="Moderado"),CONCATENATE("R10C",'Mapa DIGSA'!$T$67),"")</f>
        <v/>
      </c>
      <c r="X45" s="65" t="str">
        <f>IF(AND('Mapa DIGSA'!$AD$68="Baja",'Mapa DIGSA'!$AF$68="Moderado"),CONCATENATE("R10C",'Mapa DIGSA'!$T$68),"")</f>
        <v/>
      </c>
      <c r="Y45" s="65" t="str">
        <f>IF(AND('Mapa DIGSA'!$AD$69="Baja",'Mapa DIGSA'!$AF$69="Moderado"),CONCATENATE("R10C",'Mapa DIGSA'!$T$69),"")</f>
        <v/>
      </c>
      <c r="Z45" s="65" t="str">
        <f>IF(AND('Mapa DIGSA'!$AD$70="Baja",'Mapa DIGSA'!$AF$70="Moderado"),CONCATENATE("R10C",'Mapa DIGSA'!$T$70),"")</f>
        <v/>
      </c>
      <c r="AA45" s="66" t="e">
        <f>IF(AND('Mapa DIGSA'!#REF!="Baja",'Mapa DIGSA'!#REF!="Moderado"),CONCATENATE("R10C",'Mapa DIGSA'!#REF!),"")</f>
        <v>#REF!</v>
      </c>
      <c r="AB45" s="52" t="str">
        <f>IF(AND('Mapa DIGSA'!$AD$66="Baja",'Mapa DIGSA'!$AF$66="Mayor"),CONCATENATE("R10C",'Mapa DIGSA'!$T$66),"")</f>
        <v/>
      </c>
      <c r="AC45" s="53" t="str">
        <f>IF(AND('Mapa DIGSA'!$AD$67="Baja",'Mapa DIGSA'!$AF$67="Mayor"),CONCATENATE("R10C",'Mapa DIGSA'!$T$67),"")</f>
        <v/>
      </c>
      <c r="AD45" s="53" t="str">
        <f>IF(AND('Mapa DIGSA'!$AD$68="Baja",'Mapa DIGSA'!$AF$68="Mayor"),CONCATENATE("R10C",'Mapa DIGSA'!$T$68),"")</f>
        <v/>
      </c>
      <c r="AE45" s="53" t="str">
        <f>IF(AND('Mapa DIGSA'!$AD$69="Baja",'Mapa DIGSA'!$AF$69="Mayor"),CONCATENATE("R10C",'Mapa DIGSA'!$T$69),"")</f>
        <v/>
      </c>
      <c r="AF45" s="53" t="str">
        <f>IF(AND('Mapa DIGSA'!$AD$70="Baja",'Mapa DIGSA'!$AF$70="Mayor"),CONCATENATE("R10C",'Mapa DIGSA'!$T$70),"")</f>
        <v/>
      </c>
      <c r="AG45" s="54" t="e">
        <f>IF(AND('Mapa DIGSA'!#REF!="Baja",'Mapa DIGSA'!#REF!="Mayor"),CONCATENATE("R10C",'Mapa DIGSA'!#REF!),"")</f>
        <v>#REF!</v>
      </c>
      <c r="AH45" s="55" t="str">
        <f>IF(AND('Mapa DIGSA'!$AD$66="Baja",'Mapa DIGSA'!$AF$66="Catastrófico"),CONCATENATE("R10C",'Mapa DIGSA'!$T$66),"")</f>
        <v/>
      </c>
      <c r="AI45" s="56" t="str">
        <f>IF(AND('Mapa DIGSA'!$AD$67="Baja",'Mapa DIGSA'!$AF$67="Catastrófico"),CONCATENATE("R10C",'Mapa DIGSA'!$T$67),"")</f>
        <v>R10C2</v>
      </c>
      <c r="AJ45" s="56" t="str">
        <f>IF(AND('Mapa DIGSA'!$AD$68="Baja",'Mapa DIGSA'!$AF$68="Catastrófico"),CONCATENATE("R10C",'Mapa DIGSA'!$T$68),"")</f>
        <v/>
      </c>
      <c r="AK45" s="56" t="str">
        <f>IF(AND('Mapa DIGSA'!$AD$69="Baja",'Mapa DIGSA'!$AF$69="Catastrófico"),CONCATENATE("R10C",'Mapa DIGSA'!$T$69),"")</f>
        <v/>
      </c>
      <c r="AL45" s="56" t="str">
        <f>IF(AND('Mapa DIGSA'!$AD$70="Baja",'Mapa DIGSA'!$AF$70="Catastrófico"),CONCATENATE("R10C",'Mapa DIGSA'!$T$70),"")</f>
        <v/>
      </c>
      <c r="AM45" s="57" t="e">
        <f>IF(AND('Mapa DIGSA'!#REF!="Baja",'Mapa DIGSA'!#REF!="Catastrófico"),CONCATENATE("R10C",'Mapa DIGSA'!#REF!),"")</f>
        <v>#REF!</v>
      </c>
      <c r="AN45" s="10"/>
      <c r="AO45" s="419"/>
      <c r="AP45" s="420"/>
      <c r="AQ45" s="420"/>
      <c r="AR45" s="420"/>
      <c r="AS45" s="420"/>
      <c r="AT45" s="421"/>
    </row>
    <row r="46" spans="1:80" ht="46.5" customHeight="1" x14ac:dyDescent="0.35">
      <c r="A46" s="10"/>
      <c r="B46" s="343"/>
      <c r="C46" s="343"/>
      <c r="D46" s="344"/>
      <c r="E46" s="381" t="s">
        <v>106</v>
      </c>
      <c r="F46" s="382"/>
      <c r="G46" s="382"/>
      <c r="H46" s="382"/>
      <c r="I46" s="383"/>
      <c r="J46" s="67" t="str">
        <f>IF(AND('Mapa DIGSA'!$AD$12="Muy Baja",'Mapa DIGSA'!$AF$12="Leve"),CONCATENATE("R1C",'Mapa DIGSA'!$T$12),"")</f>
        <v/>
      </c>
      <c r="K46" s="68" t="str">
        <f>IF(AND('Mapa DIGSA'!$AD$13="Muy Baja",'Mapa DIGSA'!$AF$13="Leve"),CONCATENATE("R1C",'Mapa DIGSA'!$T$13),"")</f>
        <v/>
      </c>
      <c r="L46" s="68" t="str">
        <f>IF(AND('Mapa DIGSA'!$AD$14="Muy Baja",'Mapa DIGSA'!$AF$14="Leve"),CONCATENATE("R1C",'Mapa DIGSA'!$T$14),"")</f>
        <v/>
      </c>
      <c r="M46" s="68" t="str">
        <f>IF(AND('Mapa DIGSA'!$AD$15="Muy Baja",'Mapa DIGSA'!$AF$15="Leve"),CONCATENATE("R1C",'Mapa DIGSA'!$T$15),"")</f>
        <v/>
      </c>
      <c r="N46" s="68" t="str">
        <f>IF(AND('Mapa DIGSA'!$AD$16="Muy Baja",'Mapa DIGSA'!$AF$16="Leve"),CONCATENATE("R1C",'Mapa DIGSA'!$T$16),"")</f>
        <v/>
      </c>
      <c r="O46" s="69" t="str">
        <f>IF(AND('Mapa DIGSA'!$AD$17="Muy Baja",'Mapa DIGSA'!$AF$17="Leve"),CONCATENATE("R1C",'Mapa DIGSA'!$T$17),"")</f>
        <v/>
      </c>
      <c r="P46" s="67" t="str">
        <f>IF(AND('Mapa DIGSA'!$AD$12="Muy Baja",'Mapa DIGSA'!$AF$12="Menor"),CONCATENATE("R1C",'Mapa DIGSA'!$T$12),"")</f>
        <v/>
      </c>
      <c r="Q46" s="68" t="str">
        <f>IF(AND('Mapa DIGSA'!$AD$13="Muy Baja",'Mapa DIGSA'!$AF$13="Menor"),CONCATENATE("R1C",'Mapa DIGSA'!$T$13),"")</f>
        <v/>
      </c>
      <c r="R46" s="68" t="str">
        <f>IF(AND('Mapa DIGSA'!$AD$14="Muy Baja",'Mapa DIGSA'!$AF$14="Menor"),CONCATENATE("R1C",'Mapa DIGSA'!$T$14),"")</f>
        <v/>
      </c>
      <c r="S46" s="68" t="str">
        <f>IF(AND('Mapa DIGSA'!$AD$15="Muy Baja",'Mapa DIGSA'!$AF$15="Menor"),CONCATENATE("R1C",'Mapa DIGSA'!$T$15),"")</f>
        <v/>
      </c>
      <c r="T46" s="68" t="str">
        <f>IF(AND('Mapa DIGSA'!$AD$16="Muy Baja",'Mapa DIGSA'!$AF$16="Menor"),CONCATENATE("R1C",'Mapa DIGSA'!$T$16),"")</f>
        <v/>
      </c>
      <c r="U46" s="69" t="str">
        <f>IF(AND('Mapa DIGSA'!$AD$17="Muy Baja",'Mapa DIGSA'!$AF$17="Menor"),CONCATENATE("R1C",'Mapa DIGSA'!$T$17),"")</f>
        <v/>
      </c>
      <c r="V46" s="58" t="str">
        <f>IF(AND('Mapa DIGSA'!$AD$12="Muy Baja",'Mapa DIGSA'!$AF$12="Moderado"),CONCATENATE("R1C",'Mapa DIGSA'!$T$12),"")</f>
        <v/>
      </c>
      <c r="W46" s="76" t="str">
        <f>IF(AND('Mapa DIGSA'!$AD$13="Muy Baja",'Mapa DIGSA'!$AF$13="Moderado"),CONCATENATE("R1C",'Mapa DIGSA'!$T$13),"")</f>
        <v/>
      </c>
      <c r="X46" s="59" t="str">
        <f>IF(AND('Mapa DIGSA'!$AD$14="Muy Baja",'Mapa DIGSA'!$AF$14="Moderado"),CONCATENATE("R1C",'Mapa DIGSA'!$T$14),"")</f>
        <v/>
      </c>
      <c r="Y46" s="59" t="str">
        <f>IF(AND('Mapa DIGSA'!$AD$15="Muy Baja",'Mapa DIGSA'!$AF$15="Moderado"),CONCATENATE("R1C",'Mapa DIGSA'!$T$15),"")</f>
        <v/>
      </c>
      <c r="Z46" s="59" t="str">
        <f>IF(AND('Mapa DIGSA'!$AD$16="Muy Baja",'Mapa DIGSA'!$AF$16="Moderado"),CONCATENATE("R1C",'Mapa DIGSA'!$T$16),"")</f>
        <v/>
      </c>
      <c r="AA46" s="60" t="str">
        <f>IF(AND('Mapa DIGSA'!$AD$17="Muy Baja",'Mapa DIGSA'!$AF$17="Moderado"),CONCATENATE("R1C",'Mapa DIGSA'!$T$17),"")</f>
        <v/>
      </c>
      <c r="AB46" s="39" t="str">
        <f>IF(AND('Mapa DIGSA'!$AD$12="Muy Baja",'Mapa DIGSA'!$AF$12="Mayor"),CONCATENATE("R1C",'Mapa DIGSA'!$T$12),"")</f>
        <v/>
      </c>
      <c r="AC46" s="40" t="str">
        <f>IF(AND('Mapa DIGSA'!$AD$13="Muy Baja",'Mapa DIGSA'!$AF$13="Mayor"),CONCATENATE("R1C",'Mapa DIGSA'!$T$13),"")</f>
        <v/>
      </c>
      <c r="AD46" s="40" t="str">
        <f>IF(AND('Mapa DIGSA'!$AD$14="Muy Baja",'Mapa DIGSA'!$AF$14="Mayor"),CONCATENATE("R1C",'Mapa DIGSA'!$T$14),"")</f>
        <v/>
      </c>
      <c r="AE46" s="40" t="str">
        <f>IF(AND('Mapa DIGSA'!$AD$15="Muy Baja",'Mapa DIGSA'!$AF$15="Mayor"),CONCATENATE("R1C",'Mapa DIGSA'!$T$15),"")</f>
        <v/>
      </c>
      <c r="AF46" s="40" t="str">
        <f>IF(AND('Mapa DIGSA'!$AD$16="Muy Baja",'Mapa DIGSA'!$AF$16="Mayor"),CONCATENATE("R1C",'Mapa DIGSA'!$T$16),"")</f>
        <v/>
      </c>
      <c r="AG46" s="41" t="str">
        <f>IF(AND('Mapa DIGSA'!$AD$17="Muy Baja",'Mapa DIGSA'!$AF$17="Mayor"),CONCATENATE("R1C",'Mapa DIGSA'!$T$17),"")</f>
        <v/>
      </c>
      <c r="AH46" s="42" t="str">
        <f>IF(AND('Mapa DIGSA'!$AD$12="Muy Baja",'Mapa DIGSA'!$AF$12="Catastrófico"),CONCATENATE("R1C",'Mapa DIGSA'!$T$12),"")</f>
        <v/>
      </c>
      <c r="AI46" s="43" t="str">
        <f>IF(AND('Mapa DIGSA'!$AD$13="Muy Baja",'Mapa DIGSA'!$AF$13="Catastrófico"),CONCATENATE("R1C",'Mapa DIGSA'!$T$13),"")</f>
        <v/>
      </c>
      <c r="AJ46" s="43" t="str">
        <f>IF(AND('Mapa DIGSA'!$AD$14="Muy Baja",'Mapa DIGSA'!$AF$14="Catastrófico"),CONCATENATE("R1C",'Mapa DIGSA'!$T$14),"")</f>
        <v/>
      </c>
      <c r="AK46" s="43" t="str">
        <f>IF(AND('Mapa DIGSA'!$AD$15="Muy Baja",'Mapa DIGSA'!$AF$15="Catastrófico"),CONCATENATE("R1C",'Mapa DIGSA'!$T$15),"")</f>
        <v>R1C4</v>
      </c>
      <c r="AL46" s="43" t="str">
        <f>IF(AND('Mapa DIGSA'!$AD$16="Muy Baja",'Mapa DIGSA'!$AF$16="Catastrófico"),CONCATENATE("R1C",'Mapa DIGSA'!$T$16),"")</f>
        <v>R1C5</v>
      </c>
      <c r="AM46" s="44" t="str">
        <f>IF(AND('Mapa DIGSA'!$AD$17="Muy Baja",'Mapa DIGSA'!$AF$17="Catastrófico"),CONCATENATE("R1C",'Mapa DIGSA'!$T$17),"")</f>
        <v/>
      </c>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row>
    <row r="47" spans="1:80" ht="46.5" customHeight="1" x14ac:dyDescent="0.25">
      <c r="A47" s="10"/>
      <c r="B47" s="343"/>
      <c r="C47" s="343"/>
      <c r="D47" s="344"/>
      <c r="E47" s="400"/>
      <c r="F47" s="401"/>
      <c r="G47" s="401"/>
      <c r="H47" s="401"/>
      <c r="I47" s="386"/>
      <c r="J47" s="70" t="str">
        <f>IF(AND('Mapa DIGSA'!$AD$18="Muy Baja",'Mapa DIGSA'!$AF$18="Leve"),CONCATENATE("R2C",'Mapa DIGSA'!$T$18),"")</f>
        <v/>
      </c>
      <c r="K47" s="71" t="str">
        <f>IF(AND('Mapa DIGSA'!$AD$19="Muy Baja",'Mapa DIGSA'!$AF$19="Leve"),CONCATENATE("R2C",'Mapa DIGSA'!$T$19),"")</f>
        <v/>
      </c>
      <c r="L47" s="71" t="str">
        <f>IF(AND('Mapa DIGSA'!$AD$20="Muy Baja",'Mapa DIGSA'!$AF$20="Leve"),CONCATENATE("R2C",'Mapa DIGSA'!$T$20),"")</f>
        <v/>
      </c>
      <c r="M47" s="71" t="str">
        <f>IF(AND('Mapa DIGSA'!$AD$21="Muy Baja",'Mapa DIGSA'!$AF$21="Leve"),CONCATENATE("R2C",'Mapa DIGSA'!$T$21),"")</f>
        <v/>
      </c>
      <c r="N47" s="71" t="str">
        <f>IF(AND('Mapa DIGSA'!$AD$22="Muy Baja",'Mapa DIGSA'!$AF$22="Leve"),CONCATENATE("R2C",'Mapa DIGSA'!$T$22),"")</f>
        <v/>
      </c>
      <c r="O47" s="72" t="str">
        <f>IF(AND('Mapa DIGSA'!$AD$23="Muy Baja",'Mapa DIGSA'!$AF$23="Leve"),CONCATENATE("R2C",'Mapa DIGSA'!$T$23),"")</f>
        <v/>
      </c>
      <c r="P47" s="70" t="str">
        <f>IF(AND('Mapa DIGSA'!$AD$18="Muy Baja",'Mapa DIGSA'!$AF$18="Menor"),CONCATENATE("R2C",'Mapa DIGSA'!$T$18),"")</f>
        <v/>
      </c>
      <c r="Q47" s="71" t="str">
        <f>IF(AND('Mapa DIGSA'!$AD$19="Muy Baja",'Mapa DIGSA'!$AF$19="Menor"),CONCATENATE("R2C",'Mapa DIGSA'!$T$19),"")</f>
        <v/>
      </c>
      <c r="R47" s="71" t="str">
        <f>IF(AND('Mapa DIGSA'!$AD$20="Muy Baja",'Mapa DIGSA'!$AF$20="Menor"),CONCATENATE("R2C",'Mapa DIGSA'!$T$20),"")</f>
        <v/>
      </c>
      <c r="S47" s="71" t="str">
        <f>IF(AND('Mapa DIGSA'!$AD$21="Muy Baja",'Mapa DIGSA'!$AF$21="Menor"),CONCATENATE("R2C",'Mapa DIGSA'!$T$21),"")</f>
        <v/>
      </c>
      <c r="T47" s="71" t="str">
        <f>IF(AND('Mapa DIGSA'!$AD$22="Muy Baja",'Mapa DIGSA'!$AF$22="Menor"),CONCATENATE("R2C",'Mapa DIGSA'!$T$22),"")</f>
        <v/>
      </c>
      <c r="U47" s="72" t="str">
        <f>IF(AND('Mapa DIGSA'!$AD$23="Muy Baja",'Mapa DIGSA'!$AF$23="Menor"),CONCATENATE("R2C",'Mapa DIGSA'!$T$23),"")</f>
        <v/>
      </c>
      <c r="V47" s="61" t="str">
        <f>IF(AND('Mapa DIGSA'!$AD$18="Muy Baja",'Mapa DIGSA'!$AF$18="Moderado"),CONCATENATE("R2C",'Mapa DIGSA'!$T$18),"")</f>
        <v/>
      </c>
      <c r="W47" s="62" t="str">
        <f>IF(AND('Mapa DIGSA'!$AD$19="Muy Baja",'Mapa DIGSA'!$AF$19="Moderado"),CONCATENATE("R2C",'Mapa DIGSA'!$T$19),"")</f>
        <v/>
      </c>
      <c r="X47" s="62" t="str">
        <f>IF(AND('Mapa DIGSA'!$AD$20="Muy Baja",'Mapa DIGSA'!$AF$20="Moderado"),CONCATENATE("R2C",'Mapa DIGSA'!$T$20),"")</f>
        <v/>
      </c>
      <c r="Y47" s="62" t="str">
        <f>IF(AND('Mapa DIGSA'!$AD$21="Muy Baja",'Mapa DIGSA'!$AF$21="Moderado"),CONCATENATE("R2C",'Mapa DIGSA'!$T$21),"")</f>
        <v/>
      </c>
      <c r="Z47" s="62" t="str">
        <f>IF(AND('Mapa DIGSA'!$AD$22="Muy Baja",'Mapa DIGSA'!$AF$22="Moderado"),CONCATENATE("R2C",'Mapa DIGSA'!$T$22),"")</f>
        <v/>
      </c>
      <c r="AA47" s="63" t="str">
        <f>IF(AND('Mapa DIGSA'!$AD$23="Muy Baja",'Mapa DIGSA'!$AF$23="Moderado"),CONCATENATE("R2C",'Mapa DIGSA'!$T$23),"")</f>
        <v/>
      </c>
      <c r="AB47" s="45" t="str">
        <f>IF(AND('Mapa DIGSA'!$AD$18="Muy Baja",'Mapa DIGSA'!$AF$18="Mayor"),CONCATENATE("R2C",'Mapa DIGSA'!$T$18),"")</f>
        <v/>
      </c>
      <c r="AC47" s="46" t="str">
        <f>IF(AND('Mapa DIGSA'!$AD$19="Muy Baja",'Mapa DIGSA'!$AF$19="Mayor"),CONCATENATE("R2C",'Mapa DIGSA'!$T$19),"")</f>
        <v/>
      </c>
      <c r="AD47" s="46" t="str">
        <f>IF(AND('Mapa DIGSA'!$AD$20="Muy Baja",'Mapa DIGSA'!$AF$20="Mayor"),CONCATENATE("R2C",'Mapa DIGSA'!$T$20),"")</f>
        <v/>
      </c>
      <c r="AE47" s="46" t="str">
        <f>IF(AND('Mapa DIGSA'!$AD$21="Muy Baja",'Mapa DIGSA'!$AF$21="Mayor"),CONCATENATE("R2C",'Mapa DIGSA'!$T$21),"")</f>
        <v/>
      </c>
      <c r="AF47" s="46" t="str">
        <f>IF(AND('Mapa DIGSA'!$AD$22="Muy Baja",'Mapa DIGSA'!$AF$22="Mayor"),CONCATENATE("R2C",'Mapa DIGSA'!$T$22),"")</f>
        <v/>
      </c>
      <c r="AG47" s="47" t="str">
        <f>IF(AND('Mapa DIGSA'!$AD$23="Muy Baja",'Mapa DIGSA'!$AF$23="Mayor"),CONCATENATE("R2C",'Mapa DIGSA'!$T$23),"")</f>
        <v/>
      </c>
      <c r="AH47" s="48" t="str">
        <f>IF(AND('Mapa DIGSA'!$AD$18="Muy Baja",'Mapa DIGSA'!$AF$18="Catastrófico"),CONCATENATE("R2C",'Mapa DIGSA'!$T$18),"")</f>
        <v/>
      </c>
      <c r="AI47" s="49" t="str">
        <f>IF(AND('Mapa DIGSA'!$AD$19="Muy Baja",'Mapa DIGSA'!$AF$19="Catastrófico"),CONCATENATE("R2C",'Mapa DIGSA'!$T$19),"")</f>
        <v/>
      </c>
      <c r="AJ47" s="49" t="str">
        <f>IF(AND('Mapa DIGSA'!$AD$20="Muy Baja",'Mapa DIGSA'!$AF$20="Catastrófico"),CONCATENATE("R2C",'Mapa DIGSA'!$T$20),"")</f>
        <v/>
      </c>
      <c r="AK47" s="49" t="str">
        <f>IF(AND('Mapa DIGSA'!$AD$21="Muy Baja",'Mapa DIGSA'!$AF$21="Catastrófico"),CONCATENATE("R2C",'Mapa DIGSA'!$T$21),"")</f>
        <v/>
      </c>
      <c r="AL47" s="49" t="str">
        <f>IF(AND('Mapa DIGSA'!$AD$22="Muy Baja",'Mapa DIGSA'!$AF$22="Catastrófico"),CONCATENATE("R2C",'Mapa DIGSA'!$T$22),"")</f>
        <v/>
      </c>
      <c r="AM47" s="50" t="str">
        <f>IF(AND('Mapa DIGSA'!$AD$23="Muy Baja",'Mapa DIGSA'!$AF$23="Catastrófico"),CONCATENATE("R2C",'Mapa DIGSA'!$T$23),"")</f>
        <v/>
      </c>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row>
    <row r="48" spans="1:80" ht="15" customHeight="1" x14ac:dyDescent="0.25">
      <c r="A48" s="10"/>
      <c r="B48" s="343"/>
      <c r="C48" s="343"/>
      <c r="D48" s="344"/>
      <c r="E48" s="400"/>
      <c r="F48" s="401"/>
      <c r="G48" s="401"/>
      <c r="H48" s="401"/>
      <c r="I48" s="386"/>
      <c r="J48" s="70" t="str">
        <f>IF(AND('Mapa DIGSA'!$AD$24="Muy Baja",'Mapa DIGSA'!$AF$24="Leve"),CONCATENATE("R3C",'Mapa DIGSA'!$T$24),"")</f>
        <v/>
      </c>
      <c r="K48" s="71" t="str">
        <f>IF(AND('Mapa DIGSA'!$AD$25="Muy Baja",'Mapa DIGSA'!$AF$25="Leve"),CONCATENATE("R3C",'Mapa DIGSA'!$T$25),"")</f>
        <v/>
      </c>
      <c r="L48" s="71" t="str">
        <f>IF(AND('Mapa DIGSA'!$AD$26="Muy Baja",'Mapa DIGSA'!$AF$26="Leve"),CONCATENATE("R3C",'Mapa DIGSA'!$T$26),"")</f>
        <v/>
      </c>
      <c r="M48" s="71" t="str">
        <f>IF(AND('Mapa DIGSA'!$AD$27="Muy Baja",'Mapa DIGSA'!$AF$27="Leve"),CONCATENATE("R3C",'Mapa DIGSA'!$T$27),"")</f>
        <v/>
      </c>
      <c r="N48" s="71" t="str">
        <f>IF(AND('Mapa DIGSA'!$AD$28="Muy Baja",'Mapa DIGSA'!$AF$28="Leve"),CONCATENATE("R3C",'Mapa DIGSA'!$T$28),"")</f>
        <v/>
      </c>
      <c r="O48" s="72" t="str">
        <f>IF(AND('Mapa DIGSA'!$AD$29="Muy Baja",'Mapa DIGSA'!$AF$29="Leve"),CONCATENATE("R3C",'Mapa DIGSA'!$T$29),"")</f>
        <v/>
      </c>
      <c r="P48" s="70" t="str">
        <f>IF(AND('Mapa DIGSA'!$AD$24="Muy Baja",'Mapa DIGSA'!$AF$24="Menor"),CONCATENATE("R3C",'Mapa DIGSA'!$T$24),"")</f>
        <v/>
      </c>
      <c r="Q48" s="71" t="str">
        <f>IF(AND('Mapa DIGSA'!$AD$25="Muy Baja",'Mapa DIGSA'!$AF$25="Menor"),CONCATENATE("R3C",'Mapa DIGSA'!$T$25),"")</f>
        <v/>
      </c>
      <c r="R48" s="71" t="str">
        <f>IF(AND('Mapa DIGSA'!$AD$26="Muy Baja",'Mapa DIGSA'!$AF$26="Menor"),CONCATENATE("R3C",'Mapa DIGSA'!$T$26),"")</f>
        <v/>
      </c>
      <c r="S48" s="71" t="str">
        <f>IF(AND('Mapa DIGSA'!$AD$27="Muy Baja",'Mapa DIGSA'!$AF$27="Menor"),CONCATENATE("R3C",'Mapa DIGSA'!$T$27),"")</f>
        <v/>
      </c>
      <c r="T48" s="71" t="str">
        <f>IF(AND('Mapa DIGSA'!$AD$28="Muy Baja",'Mapa DIGSA'!$AF$28="Menor"),CONCATENATE("R3C",'Mapa DIGSA'!$T$28),"")</f>
        <v/>
      </c>
      <c r="U48" s="72" t="str">
        <f>IF(AND('Mapa DIGSA'!$AD$29="Muy Baja",'Mapa DIGSA'!$AF$29="Menor"),CONCATENATE("R3C",'Mapa DIGSA'!$T$29),"")</f>
        <v/>
      </c>
      <c r="V48" s="61" t="str">
        <f>IF(AND('Mapa DIGSA'!$AD$24="Muy Baja",'Mapa DIGSA'!$AF$24="Moderado"),CONCATENATE("R3C",'Mapa DIGSA'!$T$24),"")</f>
        <v/>
      </c>
      <c r="W48" s="62" t="str">
        <f>IF(AND('Mapa DIGSA'!$AD$25="Muy Baja",'Mapa DIGSA'!$AF$25="Moderado"),CONCATENATE("R3C",'Mapa DIGSA'!$T$25),"")</f>
        <v/>
      </c>
      <c r="X48" s="62" t="str">
        <f>IF(AND('Mapa DIGSA'!$AD$26="Muy Baja",'Mapa DIGSA'!$AF$26="Moderado"),CONCATENATE("R3C",'Mapa DIGSA'!$T$26),"")</f>
        <v/>
      </c>
      <c r="Y48" s="62" t="str">
        <f>IF(AND('Mapa DIGSA'!$AD$27="Muy Baja",'Mapa DIGSA'!$AF$27="Moderado"),CONCATENATE("R3C",'Mapa DIGSA'!$T$27),"")</f>
        <v/>
      </c>
      <c r="Z48" s="62" t="str">
        <f>IF(AND('Mapa DIGSA'!$AD$28="Muy Baja",'Mapa DIGSA'!$AF$28="Moderado"),CONCATENATE("R3C",'Mapa DIGSA'!$T$28),"")</f>
        <v/>
      </c>
      <c r="AA48" s="63" t="str">
        <f>IF(AND('Mapa DIGSA'!$AD$29="Muy Baja",'Mapa DIGSA'!$AF$29="Moderado"),CONCATENATE("R3C",'Mapa DIGSA'!$T$29),"")</f>
        <v/>
      </c>
      <c r="AB48" s="45" t="str">
        <f>IF(AND('Mapa DIGSA'!$AD$24="Muy Baja",'Mapa DIGSA'!$AF$24="Mayor"),CONCATENATE("R3C",'Mapa DIGSA'!$T$24),"")</f>
        <v/>
      </c>
      <c r="AC48" s="46" t="str">
        <f>IF(AND('Mapa DIGSA'!$AD$25="Muy Baja",'Mapa DIGSA'!$AF$25="Mayor"),CONCATENATE("R3C",'Mapa DIGSA'!$T$25),"")</f>
        <v/>
      </c>
      <c r="AD48" s="46" t="str">
        <f>IF(AND('Mapa DIGSA'!$AD$26="Muy Baja",'Mapa DIGSA'!$AF$26="Mayor"),CONCATENATE("R3C",'Mapa DIGSA'!$T$26),"")</f>
        <v/>
      </c>
      <c r="AE48" s="46" t="str">
        <f>IF(AND('Mapa DIGSA'!$AD$27="Muy Baja",'Mapa DIGSA'!$AF$27="Mayor"),CONCATENATE("R3C",'Mapa DIGSA'!$T$27),"")</f>
        <v/>
      </c>
      <c r="AF48" s="46" t="str">
        <f>IF(AND('Mapa DIGSA'!$AD$28="Muy Baja",'Mapa DIGSA'!$AF$28="Mayor"),CONCATENATE("R3C",'Mapa DIGSA'!$T$28),"")</f>
        <v/>
      </c>
      <c r="AG48" s="47" t="str">
        <f>IF(AND('Mapa DIGSA'!$AD$29="Muy Baja",'Mapa DIGSA'!$AF$29="Mayor"),CONCATENATE("R3C",'Mapa DIGSA'!$T$29),"")</f>
        <v/>
      </c>
      <c r="AH48" s="48" t="str">
        <f>IF(AND('Mapa DIGSA'!$AD$24="Muy Baja",'Mapa DIGSA'!$AF$24="Catastrófico"),CONCATENATE("R3C",'Mapa DIGSA'!$T$24),"")</f>
        <v/>
      </c>
      <c r="AI48" s="49" t="str">
        <f>IF(AND('Mapa DIGSA'!$AD$25="Muy Baja",'Mapa DIGSA'!$AF$25="Catastrófico"),CONCATENATE("R3C",'Mapa DIGSA'!$T$25),"")</f>
        <v/>
      </c>
      <c r="AJ48" s="49" t="str">
        <f>IF(AND('Mapa DIGSA'!$AD$26="Muy Baja",'Mapa DIGSA'!$AF$26="Catastrófico"),CONCATENATE("R3C",'Mapa DIGSA'!$T$26),"")</f>
        <v/>
      </c>
      <c r="AK48" s="49" t="str">
        <f>IF(AND('Mapa DIGSA'!$AD$27="Muy Baja",'Mapa DIGSA'!$AF$27="Catastrófico"),CONCATENATE("R3C",'Mapa DIGSA'!$T$27),"")</f>
        <v/>
      </c>
      <c r="AL48" s="49" t="str">
        <f>IF(AND('Mapa DIGSA'!$AD$28="Muy Baja",'Mapa DIGSA'!$AF$28="Catastrófico"),CONCATENATE("R3C",'Mapa DIGSA'!$T$28),"")</f>
        <v/>
      </c>
      <c r="AM48" s="50" t="str">
        <f>IF(AND('Mapa DIGSA'!$AD$29="Muy Baja",'Mapa DIGSA'!$AF$29="Catastrófico"),CONCATENATE("R3C",'Mapa DIGSA'!$T$29),"")</f>
        <v/>
      </c>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row>
    <row r="49" spans="1:80" ht="15" customHeight="1" x14ac:dyDescent="0.25">
      <c r="A49" s="10"/>
      <c r="B49" s="343"/>
      <c r="C49" s="343"/>
      <c r="D49" s="344"/>
      <c r="E49" s="384"/>
      <c r="F49" s="385"/>
      <c r="G49" s="385"/>
      <c r="H49" s="385"/>
      <c r="I49" s="386"/>
      <c r="J49" s="70" t="str">
        <f>IF(AND('Mapa DIGSA'!$AD$30="Muy Baja",'Mapa DIGSA'!$AF$30="Leve"),CONCATENATE("R4C",'Mapa DIGSA'!$T$30),"")</f>
        <v/>
      </c>
      <c r="K49" s="71" t="str">
        <f>IF(AND('Mapa DIGSA'!$AD$31="Muy Baja",'Mapa DIGSA'!$AF$31="Leve"),CONCATENATE("R4C",'Mapa DIGSA'!$T$31),"")</f>
        <v/>
      </c>
      <c r="L49" s="71" t="str">
        <f>IF(AND('Mapa DIGSA'!$AD$32="Muy Baja",'Mapa DIGSA'!$AF$32="Leve"),CONCATENATE("R4C",'Mapa DIGSA'!$T$32),"")</f>
        <v/>
      </c>
      <c r="M49" s="71" t="str">
        <f>IF(AND('Mapa DIGSA'!$AD$33="Muy Baja",'Mapa DIGSA'!$AF$33="Leve"),CONCATENATE("R4C",'Mapa DIGSA'!$T$33),"")</f>
        <v/>
      </c>
      <c r="N49" s="71" t="str">
        <f>IF(AND('Mapa DIGSA'!$AD$34="Muy Baja",'Mapa DIGSA'!$AF$34="Leve"),CONCATENATE("R4C",'Mapa DIGSA'!$T$34),"")</f>
        <v/>
      </c>
      <c r="O49" s="72" t="str">
        <f>IF(AND('Mapa DIGSA'!$AD$35="Muy Baja",'Mapa DIGSA'!$AF$35="Leve"),CONCATENATE("R4C",'Mapa DIGSA'!$T$35),"")</f>
        <v/>
      </c>
      <c r="P49" s="70" t="str">
        <f>IF(AND('Mapa DIGSA'!$AD$30="Muy Baja",'Mapa DIGSA'!$AF$30="Menor"),CONCATENATE("R4C",'Mapa DIGSA'!$T$30),"")</f>
        <v/>
      </c>
      <c r="Q49" s="71" t="str">
        <f>IF(AND('Mapa DIGSA'!$AD$31="Muy Baja",'Mapa DIGSA'!$AF$31="Menor"),CONCATENATE("R4C",'Mapa DIGSA'!$T$31),"")</f>
        <v/>
      </c>
      <c r="R49" s="71" t="str">
        <f>IF(AND('Mapa DIGSA'!$AD$32="Muy Baja",'Mapa DIGSA'!$AF$32="Menor"),CONCATENATE("R4C",'Mapa DIGSA'!$T$32),"")</f>
        <v/>
      </c>
      <c r="S49" s="71" t="str">
        <f>IF(AND('Mapa DIGSA'!$AD$33="Muy Baja",'Mapa DIGSA'!$AF$33="Menor"),CONCATENATE("R4C",'Mapa DIGSA'!$T$33),"")</f>
        <v/>
      </c>
      <c r="T49" s="71" t="str">
        <f>IF(AND('Mapa DIGSA'!$AD$34="Muy Baja",'Mapa DIGSA'!$AF$34="Menor"),CONCATENATE("R4C",'Mapa DIGSA'!$T$34),"")</f>
        <v/>
      </c>
      <c r="U49" s="72" t="str">
        <f>IF(AND('Mapa DIGSA'!$AD$35="Muy Baja",'Mapa DIGSA'!$AF$35="Menor"),CONCATENATE("R4C",'Mapa DIGSA'!$T$35),"")</f>
        <v/>
      </c>
      <c r="V49" s="61" t="str">
        <f>IF(AND('Mapa DIGSA'!$AD$30="Muy Baja",'Mapa DIGSA'!$AF$30="Moderado"),CONCATENATE("R4C",'Mapa DIGSA'!$T$30),"")</f>
        <v/>
      </c>
      <c r="W49" s="62" t="str">
        <f>IF(AND('Mapa DIGSA'!$AD$31="Muy Baja",'Mapa DIGSA'!$AF$31="Moderado"),CONCATENATE("R4C",'Mapa DIGSA'!$T$31),"")</f>
        <v/>
      </c>
      <c r="X49" s="62" t="str">
        <f>IF(AND('Mapa DIGSA'!$AD$32="Muy Baja",'Mapa DIGSA'!$AF$32="Moderado"),CONCATENATE("R4C",'Mapa DIGSA'!$T$32),"")</f>
        <v/>
      </c>
      <c r="Y49" s="62" t="str">
        <f>IF(AND('Mapa DIGSA'!$AD$33="Muy Baja",'Mapa DIGSA'!$AF$33="Moderado"),CONCATENATE("R4C",'Mapa DIGSA'!$T$33),"")</f>
        <v/>
      </c>
      <c r="Z49" s="62" t="str">
        <f>IF(AND('Mapa DIGSA'!$AD$34="Muy Baja",'Mapa DIGSA'!$AF$34="Moderado"),CONCATENATE("R4C",'Mapa DIGSA'!$T$34),"")</f>
        <v/>
      </c>
      <c r="AA49" s="63" t="str">
        <f>IF(AND('Mapa DIGSA'!$AD$35="Muy Baja",'Mapa DIGSA'!$AF$35="Moderado"),CONCATENATE("R4C",'Mapa DIGSA'!$T$35),"")</f>
        <v/>
      </c>
      <c r="AB49" s="45" t="str">
        <f>IF(AND('Mapa DIGSA'!$AD$30="Muy Baja",'Mapa DIGSA'!$AF$30="Mayor"),CONCATENATE("R4C",'Mapa DIGSA'!$T$30),"")</f>
        <v/>
      </c>
      <c r="AC49" s="46" t="str">
        <f>IF(AND('Mapa DIGSA'!$AD$31="Muy Baja",'Mapa DIGSA'!$AF$31="Mayor"),CONCATENATE("R4C",'Mapa DIGSA'!$T$31),"")</f>
        <v/>
      </c>
      <c r="AD49" s="46" t="str">
        <f>IF(AND('Mapa DIGSA'!$AD$32="Muy Baja",'Mapa DIGSA'!$AF$32="Mayor"),CONCATENATE("R4C",'Mapa DIGSA'!$T$32),"")</f>
        <v>R4C3</v>
      </c>
      <c r="AE49" s="46" t="str">
        <f>IF(AND('Mapa DIGSA'!$AD$33="Muy Baja",'Mapa DIGSA'!$AF$33="Mayor"),CONCATENATE("R4C",'Mapa DIGSA'!$T$33),"")</f>
        <v/>
      </c>
      <c r="AF49" s="46" t="str">
        <f>IF(AND('Mapa DIGSA'!$AD$34="Muy Baja",'Mapa DIGSA'!$AF$34="Mayor"),CONCATENATE("R4C",'Mapa DIGSA'!$T$34),"")</f>
        <v/>
      </c>
      <c r="AG49" s="47" t="str">
        <f>IF(AND('Mapa DIGSA'!$AD$35="Muy Baja",'Mapa DIGSA'!$AF$35="Mayor"),CONCATENATE("R4C",'Mapa DIGSA'!$T$35),"")</f>
        <v/>
      </c>
      <c r="AH49" s="48" t="str">
        <f>IF(AND('Mapa DIGSA'!$AD$30="Muy Baja",'Mapa DIGSA'!$AF$30="Catastrófico"),CONCATENATE("R4C",'Mapa DIGSA'!$T$30),"")</f>
        <v/>
      </c>
      <c r="AI49" s="49" t="str">
        <f>IF(AND('Mapa DIGSA'!$AD$31="Muy Baja",'Mapa DIGSA'!$AF$31="Catastrófico"),CONCATENATE("R4C",'Mapa DIGSA'!$T$31),"")</f>
        <v/>
      </c>
      <c r="AJ49" s="49" t="str">
        <f>IF(AND('Mapa DIGSA'!$AD$32="Muy Baja",'Mapa DIGSA'!$AF$32="Catastrófico"),CONCATENATE("R4C",'Mapa DIGSA'!$T$32),"")</f>
        <v/>
      </c>
      <c r="AK49" s="49" t="str">
        <f>IF(AND('Mapa DIGSA'!$AD$33="Muy Baja",'Mapa DIGSA'!$AF$33="Catastrófico"),CONCATENATE("R4C",'Mapa DIGSA'!$T$33),"")</f>
        <v/>
      </c>
      <c r="AL49" s="49" t="str">
        <f>IF(AND('Mapa DIGSA'!$AD$34="Muy Baja",'Mapa DIGSA'!$AF$34="Catastrófico"),CONCATENATE("R4C",'Mapa DIGSA'!$T$34),"")</f>
        <v/>
      </c>
      <c r="AM49" s="50" t="str">
        <f>IF(AND('Mapa DIGSA'!$AD$35="Muy Baja",'Mapa DIGSA'!$AF$35="Catastrófico"),CONCATENATE("R4C",'Mapa DIGSA'!$T$35),"")</f>
        <v/>
      </c>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row>
    <row r="50" spans="1:80" ht="15" customHeight="1" x14ac:dyDescent="0.25">
      <c r="A50" s="10"/>
      <c r="B50" s="343"/>
      <c r="C50" s="343"/>
      <c r="D50" s="344"/>
      <c r="E50" s="384"/>
      <c r="F50" s="385"/>
      <c r="G50" s="385"/>
      <c r="H50" s="385"/>
      <c r="I50" s="386"/>
      <c r="J50" s="70" t="str">
        <f>IF(AND('Mapa DIGSA'!$AD$36="Muy Baja",'Mapa DIGSA'!$AF$36="Leve"),CONCATENATE("R5C",'Mapa DIGSA'!$T$36),"")</f>
        <v/>
      </c>
      <c r="K50" s="71" t="str">
        <f>IF(AND('Mapa DIGSA'!$AD$37="Muy Baja",'Mapa DIGSA'!$AF$37="Leve"),CONCATENATE("R5C",'Mapa DIGSA'!$T$37),"")</f>
        <v/>
      </c>
      <c r="L50" s="71" t="str">
        <f>IF(AND('Mapa DIGSA'!$AD$38="Muy Baja",'Mapa DIGSA'!$AF$38="Leve"),CONCATENATE("R5C",'Mapa DIGSA'!$T$38),"")</f>
        <v/>
      </c>
      <c r="M50" s="71" t="str">
        <f>IF(AND('Mapa DIGSA'!$AD$39="Muy Baja",'Mapa DIGSA'!$AF$39="Leve"),CONCATENATE("R5C",'Mapa DIGSA'!$T$39),"")</f>
        <v/>
      </c>
      <c r="N50" s="71" t="str">
        <f>IF(AND('Mapa DIGSA'!$AD$40="Muy Baja",'Mapa DIGSA'!$AF$40="Leve"),CONCATENATE("R5C",'Mapa DIGSA'!$T$40),"")</f>
        <v/>
      </c>
      <c r="O50" s="72" t="str">
        <f>IF(AND('Mapa DIGSA'!$AD$41="Muy Baja",'Mapa DIGSA'!$AF$41="Leve"),CONCATENATE("R5C",'Mapa DIGSA'!$T$41),"")</f>
        <v/>
      </c>
      <c r="P50" s="70" t="str">
        <f>IF(AND('Mapa DIGSA'!$AD$36="Muy Baja",'Mapa DIGSA'!$AF$36="Menor"),CONCATENATE("R5C",'Mapa DIGSA'!$T$36),"")</f>
        <v/>
      </c>
      <c r="Q50" s="71" t="str">
        <f>IF(AND('Mapa DIGSA'!$AD$37="Muy Baja",'Mapa DIGSA'!$AF$37="Menor"),CONCATENATE("R5C",'Mapa DIGSA'!$T$37),"")</f>
        <v/>
      </c>
      <c r="R50" s="71" t="str">
        <f>IF(AND('Mapa DIGSA'!$AD$38="Muy Baja",'Mapa DIGSA'!$AF$38="Menor"),CONCATENATE("R5C",'Mapa DIGSA'!$T$38),"")</f>
        <v/>
      </c>
      <c r="S50" s="71" t="str">
        <f>IF(AND('Mapa DIGSA'!$AD$39="Muy Baja",'Mapa DIGSA'!$AF$39="Menor"),CONCATENATE("R5C",'Mapa DIGSA'!$T$39),"")</f>
        <v/>
      </c>
      <c r="T50" s="71" t="str">
        <f>IF(AND('Mapa DIGSA'!$AD$40="Muy Baja",'Mapa DIGSA'!$AF$40="Menor"),CONCATENATE("R5C",'Mapa DIGSA'!$T$40),"")</f>
        <v/>
      </c>
      <c r="U50" s="72" t="str">
        <f>IF(AND('Mapa DIGSA'!$AD$41="Muy Baja",'Mapa DIGSA'!$AF$41="Menor"),CONCATENATE("R5C",'Mapa DIGSA'!$T$41),"")</f>
        <v/>
      </c>
      <c r="V50" s="61" t="str">
        <f>IF(AND('Mapa DIGSA'!$AD$36="Muy Baja",'Mapa DIGSA'!$AF$36="Moderado"),CONCATENATE("R5C",'Mapa DIGSA'!$T$36),"")</f>
        <v/>
      </c>
      <c r="W50" s="62" t="str">
        <f>IF(AND('Mapa DIGSA'!$AD$37="Muy Baja",'Mapa DIGSA'!$AF$37="Moderado"),CONCATENATE("R5C",'Mapa DIGSA'!$T$37),"")</f>
        <v/>
      </c>
      <c r="X50" s="62" t="str">
        <f>IF(AND('Mapa DIGSA'!$AD$38="Muy Baja",'Mapa DIGSA'!$AF$38="Moderado"),CONCATENATE("R5C",'Mapa DIGSA'!$T$38),"")</f>
        <v>R5C3</v>
      </c>
      <c r="Y50" s="62" t="str">
        <f>IF(AND('Mapa DIGSA'!$AD$39="Muy Baja",'Mapa DIGSA'!$AF$39="Moderado"),CONCATENATE("R5C",'Mapa DIGSA'!$T$39),"")</f>
        <v/>
      </c>
      <c r="Z50" s="62" t="str">
        <f>IF(AND('Mapa DIGSA'!$AD$40="Muy Baja",'Mapa DIGSA'!$AF$40="Moderado"),CONCATENATE("R5C",'Mapa DIGSA'!$T$40),"")</f>
        <v/>
      </c>
      <c r="AA50" s="63" t="str">
        <f>IF(AND('Mapa DIGSA'!$AD$41="Muy Baja",'Mapa DIGSA'!$AF$41="Moderado"),CONCATENATE("R5C",'Mapa DIGSA'!$T$41),"")</f>
        <v/>
      </c>
      <c r="AB50" s="45" t="str">
        <f>IF(AND('Mapa DIGSA'!$AD$36="Muy Baja",'Mapa DIGSA'!$AF$36="Mayor"),CONCATENATE("R5C",'Mapa DIGSA'!$T$36),"")</f>
        <v/>
      </c>
      <c r="AC50" s="46" t="str">
        <f>IF(AND('Mapa DIGSA'!$AD$37="Muy Baja",'Mapa DIGSA'!$AF$37="Mayor"),CONCATENATE("R5C",'Mapa DIGSA'!$T$37),"")</f>
        <v/>
      </c>
      <c r="AD50" s="51" t="str">
        <f>IF(AND('Mapa DIGSA'!$AD$38="Muy Baja",'Mapa DIGSA'!$AF$38="Mayor"),CONCATENATE("R5C",'Mapa DIGSA'!$T$38),"")</f>
        <v/>
      </c>
      <c r="AE50" s="51" t="str">
        <f>IF(AND('Mapa DIGSA'!$AD$39="Muy Baja",'Mapa DIGSA'!$AF$39="Mayor"),CONCATENATE("R5C",'Mapa DIGSA'!$T$39),"")</f>
        <v/>
      </c>
      <c r="AF50" s="51" t="str">
        <f>IF(AND('Mapa DIGSA'!$AD$40="Muy Baja",'Mapa DIGSA'!$AF$40="Mayor"),CONCATENATE("R5C",'Mapa DIGSA'!$T$40),"")</f>
        <v/>
      </c>
      <c r="AG50" s="47" t="str">
        <f>IF(AND('Mapa DIGSA'!$AD$41="Muy Baja",'Mapa DIGSA'!$AF$41="Mayor"),CONCATENATE("R5C",'Mapa DIGSA'!$T$41),"")</f>
        <v/>
      </c>
      <c r="AH50" s="48" t="str">
        <f>IF(AND('Mapa DIGSA'!$AD$36="Muy Baja",'Mapa DIGSA'!$AF$36="Catastrófico"),CONCATENATE("R5C",'Mapa DIGSA'!$T$36),"")</f>
        <v/>
      </c>
      <c r="AI50" s="49" t="str">
        <f>IF(AND('Mapa DIGSA'!$AD$37="Muy Baja",'Mapa DIGSA'!$AF$37="Catastrófico"),CONCATENATE("R5C",'Mapa DIGSA'!$T$37),"")</f>
        <v/>
      </c>
      <c r="AJ50" s="49" t="str">
        <f>IF(AND('Mapa DIGSA'!$AD$38="Muy Baja",'Mapa DIGSA'!$AF$38="Catastrófico"),CONCATENATE("R5C",'Mapa DIGSA'!$T$38),"")</f>
        <v/>
      </c>
      <c r="AK50" s="49" t="str">
        <f>IF(AND('Mapa DIGSA'!$AD$39="Muy Baja",'Mapa DIGSA'!$AF$39="Catastrófico"),CONCATENATE("R5C",'Mapa DIGSA'!$T$39),"")</f>
        <v/>
      </c>
      <c r="AL50" s="49" t="str">
        <f>IF(AND('Mapa DIGSA'!$AD$40="Muy Baja",'Mapa DIGSA'!$AF$40="Catastrófico"),CONCATENATE("R5C",'Mapa DIGSA'!$T$40),"")</f>
        <v/>
      </c>
      <c r="AM50" s="50" t="str">
        <f>IF(AND('Mapa DIGSA'!$AD$41="Muy Baja",'Mapa DIGSA'!$AF$41="Catastrófico"),CONCATENATE("R5C",'Mapa DIGSA'!$T$41),"")</f>
        <v/>
      </c>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row>
    <row r="51" spans="1:80" ht="15" customHeight="1" x14ac:dyDescent="0.25">
      <c r="A51" s="10"/>
      <c r="B51" s="343"/>
      <c r="C51" s="343"/>
      <c r="D51" s="344"/>
      <c r="E51" s="384"/>
      <c r="F51" s="385"/>
      <c r="G51" s="385"/>
      <c r="H51" s="385"/>
      <c r="I51" s="386"/>
      <c r="J51" s="70" t="str">
        <f>IF(AND('Mapa DIGSA'!$AD$42="Muy Baja",'Mapa DIGSA'!$AF$42="Leve"),CONCATENATE("R6C",'Mapa DIGSA'!$T$42),"")</f>
        <v/>
      </c>
      <c r="K51" s="71" t="str">
        <f>IF(AND('Mapa DIGSA'!$AD$43="Muy Baja",'Mapa DIGSA'!$AF$43="Leve"),CONCATENATE("R6C",'Mapa DIGSA'!$T$43),"")</f>
        <v/>
      </c>
      <c r="L51" s="71" t="str">
        <f>IF(AND('Mapa DIGSA'!$AD$44="Muy Baja",'Mapa DIGSA'!$AF$44="Leve"),CONCATENATE("R6C",'Mapa DIGSA'!$T$44),"")</f>
        <v/>
      </c>
      <c r="M51" s="71" t="str">
        <f>IF(AND('Mapa DIGSA'!$AD$45="Muy Baja",'Mapa DIGSA'!$AF$45="Leve"),CONCATENATE("R6C",'Mapa DIGSA'!$T$45),"")</f>
        <v/>
      </c>
      <c r="N51" s="71" t="str">
        <f>IF(AND('Mapa DIGSA'!$AD$46="Muy Baja",'Mapa DIGSA'!$AF$46="Leve"),CONCATENATE("R6C",'Mapa DIGSA'!$T$46),"")</f>
        <v/>
      </c>
      <c r="O51" s="72" t="str">
        <f>IF(AND('Mapa DIGSA'!$AD$47="Muy Baja",'Mapa DIGSA'!$AF$47="Leve"),CONCATENATE("R6C",'Mapa DIGSA'!$T$47),"")</f>
        <v/>
      </c>
      <c r="P51" s="70" t="str">
        <f>IF(AND('Mapa DIGSA'!$AD$42="Muy Baja",'Mapa DIGSA'!$AF$42="Menor"),CONCATENATE("R6C",'Mapa DIGSA'!$T$42),"")</f>
        <v/>
      </c>
      <c r="Q51" s="71" t="str">
        <f>IF(AND('Mapa DIGSA'!$AD$43="Muy Baja",'Mapa DIGSA'!$AF$43="Menor"),CONCATENATE("R6C",'Mapa DIGSA'!$T$43),"")</f>
        <v/>
      </c>
      <c r="R51" s="71" t="str">
        <f>IF(AND('Mapa DIGSA'!$AD$44="Muy Baja",'Mapa DIGSA'!$AF$44="Menor"),CONCATENATE("R6C",'Mapa DIGSA'!$T$44),"")</f>
        <v/>
      </c>
      <c r="S51" s="71" t="str">
        <f>IF(AND('Mapa DIGSA'!$AD$45="Muy Baja",'Mapa DIGSA'!$AF$45="Menor"),CONCATENATE("R6C",'Mapa DIGSA'!$T$45),"")</f>
        <v/>
      </c>
      <c r="T51" s="71" t="str">
        <f>IF(AND('Mapa DIGSA'!$AD$46="Muy Baja",'Mapa DIGSA'!$AF$46="Menor"),CONCATENATE("R6C",'Mapa DIGSA'!$T$46),"")</f>
        <v/>
      </c>
      <c r="U51" s="72" t="str">
        <f>IF(AND('Mapa DIGSA'!$AD$47="Muy Baja",'Mapa DIGSA'!$AF$47="Menor"),CONCATENATE("R6C",'Mapa DIGSA'!$T$47),"")</f>
        <v/>
      </c>
      <c r="V51" s="61" t="str">
        <f>IF(AND('Mapa DIGSA'!$AD$42="Muy Baja",'Mapa DIGSA'!$AF$42="Moderado"),CONCATENATE("R6C",'Mapa DIGSA'!$T$42),"")</f>
        <v/>
      </c>
      <c r="W51" s="62" t="str">
        <f>IF(AND('Mapa DIGSA'!$AD$43="Muy Baja",'Mapa DIGSA'!$AF$43="Moderado"),CONCATENATE("R6C",'Mapa DIGSA'!$T$43),"")</f>
        <v/>
      </c>
      <c r="X51" s="62" t="str">
        <f>IF(AND('Mapa DIGSA'!$AD$44="Muy Baja",'Mapa DIGSA'!$AF$44="Moderado"),CONCATENATE("R6C",'Mapa DIGSA'!$T$44),"")</f>
        <v/>
      </c>
      <c r="Y51" s="62" t="str">
        <f>IF(AND('Mapa DIGSA'!$AD$45="Muy Baja",'Mapa DIGSA'!$AF$45="Moderado"),CONCATENATE("R6C",'Mapa DIGSA'!$T$45),"")</f>
        <v/>
      </c>
      <c r="Z51" s="62" t="str">
        <f>IF(AND('Mapa DIGSA'!$AD$46="Muy Baja",'Mapa DIGSA'!$AF$46="Moderado"),CONCATENATE("R6C",'Mapa DIGSA'!$T$46),"")</f>
        <v/>
      </c>
      <c r="AA51" s="63" t="str">
        <f>IF(AND('Mapa DIGSA'!$AD$47="Muy Baja",'Mapa DIGSA'!$AF$47="Moderado"),CONCATENATE("R6C",'Mapa DIGSA'!$T$47),"")</f>
        <v/>
      </c>
      <c r="AB51" s="45" t="str">
        <f>IF(AND('Mapa DIGSA'!$AD$42="Muy Baja",'Mapa DIGSA'!$AF$42="Mayor"),CONCATENATE("R6C",'Mapa DIGSA'!$T$42),"")</f>
        <v/>
      </c>
      <c r="AC51" s="46" t="str">
        <f>IF(AND('Mapa DIGSA'!$AD$43="Muy Baja",'Mapa DIGSA'!$AF$43="Mayor"),CONCATENATE("R6C",'Mapa DIGSA'!$T$43),"")</f>
        <v/>
      </c>
      <c r="AD51" s="51" t="str">
        <f>IF(AND('Mapa DIGSA'!$AD$44="Muy Baja",'Mapa DIGSA'!$AF$44="Mayor"),CONCATENATE("R6C",'Mapa DIGSA'!$T$44),"")</f>
        <v/>
      </c>
      <c r="AE51" s="51" t="str">
        <f>IF(AND('Mapa DIGSA'!$AD$45="Muy Baja",'Mapa DIGSA'!$AF$45="Mayor"),CONCATENATE("R6C",'Mapa DIGSA'!$T$45),"")</f>
        <v/>
      </c>
      <c r="AF51" s="51" t="str">
        <f>IF(AND('Mapa DIGSA'!$AD$46="Muy Baja",'Mapa DIGSA'!$AF$46="Mayor"),CONCATENATE("R6C",'Mapa DIGSA'!$T$46),"")</f>
        <v/>
      </c>
      <c r="AG51" s="47" t="str">
        <f>IF(AND('Mapa DIGSA'!$AD$47="Muy Baja",'Mapa DIGSA'!$AF$47="Mayor"),CONCATENATE("R6C",'Mapa DIGSA'!$T$47),"")</f>
        <v/>
      </c>
      <c r="AH51" s="48" t="str">
        <f>IF(AND('Mapa DIGSA'!$AD$42="Muy Baja",'Mapa DIGSA'!$AF$42="Catastrófico"),CONCATENATE("R6C",'Mapa DIGSA'!$T$42),"")</f>
        <v/>
      </c>
      <c r="AI51" s="49" t="str">
        <f>IF(AND('Mapa DIGSA'!$AD$43="Muy Baja",'Mapa DIGSA'!$AF$43="Catastrófico"),CONCATENATE("R6C",'Mapa DIGSA'!$T$43),"")</f>
        <v/>
      </c>
      <c r="AJ51" s="49" t="str">
        <f>IF(AND('Mapa DIGSA'!$AD$44="Muy Baja",'Mapa DIGSA'!$AF$44="Catastrófico"),CONCATENATE("R6C",'Mapa DIGSA'!$T$44),"")</f>
        <v/>
      </c>
      <c r="AK51" s="49" t="str">
        <f>IF(AND('Mapa DIGSA'!$AD$45="Muy Baja",'Mapa DIGSA'!$AF$45="Catastrófico"),CONCATENATE("R6C",'Mapa DIGSA'!$T$45),"")</f>
        <v/>
      </c>
      <c r="AL51" s="49" t="str">
        <f>IF(AND('Mapa DIGSA'!$AD$46="Muy Baja",'Mapa DIGSA'!$AF$46="Catastrófico"),CONCATENATE("R6C",'Mapa DIGSA'!$T$46),"")</f>
        <v/>
      </c>
      <c r="AM51" s="50" t="str">
        <f>IF(AND('Mapa DIGSA'!$AD$47="Muy Baja",'Mapa DIGSA'!$AF$47="Catastrófico"),CONCATENATE("R6C",'Mapa DIGSA'!$T$47),"")</f>
        <v/>
      </c>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row>
    <row r="52" spans="1:80" ht="15" customHeight="1" x14ac:dyDescent="0.25">
      <c r="A52" s="10"/>
      <c r="B52" s="343"/>
      <c r="C52" s="343"/>
      <c r="D52" s="344"/>
      <c r="E52" s="384"/>
      <c r="F52" s="385"/>
      <c r="G52" s="385"/>
      <c r="H52" s="385"/>
      <c r="I52" s="386"/>
      <c r="J52" s="70" t="str">
        <f>IF(AND('Mapa DIGSA'!$AD$48="Muy Baja",'Mapa DIGSA'!$AF$48="Leve"),CONCATENATE("R7C",'Mapa DIGSA'!$T$48),"")</f>
        <v/>
      </c>
      <c r="K52" s="71" t="str">
        <f>IF(AND('Mapa DIGSA'!$AD$49="Muy Baja",'Mapa DIGSA'!$AF$49="Leve"),CONCATENATE("R7C",'Mapa DIGSA'!$T$49),"")</f>
        <v/>
      </c>
      <c r="L52" s="71" t="str">
        <f>IF(AND('Mapa DIGSA'!$AD$50="Muy Baja",'Mapa DIGSA'!$AF$50="Leve"),CONCATENATE("R7C",'Mapa DIGSA'!$T$50),"")</f>
        <v/>
      </c>
      <c r="M52" s="71" t="str">
        <f>IF(AND('Mapa DIGSA'!$AD$51="Muy Baja",'Mapa DIGSA'!$AF$51="Leve"),CONCATENATE("R7C",'Mapa DIGSA'!$T$51),"")</f>
        <v/>
      </c>
      <c r="N52" s="71" t="str">
        <f>IF(AND('Mapa DIGSA'!$AD$52="Muy Baja",'Mapa DIGSA'!$AF$52="Leve"),CONCATENATE("R7C",'Mapa DIGSA'!$T$52),"")</f>
        <v/>
      </c>
      <c r="O52" s="72" t="str">
        <f>IF(AND('Mapa DIGSA'!$AD$53="Muy Baja",'Mapa DIGSA'!$AF$53="Leve"),CONCATENATE("R7C",'Mapa DIGSA'!$T$53),"")</f>
        <v/>
      </c>
      <c r="P52" s="70" t="str">
        <f>IF(AND('Mapa DIGSA'!$AD$48="Muy Baja",'Mapa DIGSA'!$AF$48="Menor"),CONCATENATE("R7C",'Mapa DIGSA'!$T$48),"")</f>
        <v/>
      </c>
      <c r="Q52" s="71" t="str">
        <f>IF(AND('Mapa DIGSA'!$AD$49="Muy Baja",'Mapa DIGSA'!$AF$49="Menor"),CONCATENATE("R7C",'Mapa DIGSA'!$T$49),"")</f>
        <v/>
      </c>
      <c r="R52" s="71" t="str">
        <f>IF(AND('Mapa DIGSA'!$AD$50="Muy Baja",'Mapa DIGSA'!$AF$50="Menor"),CONCATENATE("R7C",'Mapa DIGSA'!$T$50),"")</f>
        <v/>
      </c>
      <c r="S52" s="71" t="str">
        <f>IF(AND('Mapa DIGSA'!$AD$51="Muy Baja",'Mapa DIGSA'!$AF$51="Menor"),CONCATENATE("R7C",'Mapa DIGSA'!$T$51),"")</f>
        <v/>
      </c>
      <c r="T52" s="71" t="str">
        <f>IF(AND('Mapa DIGSA'!$AD$52="Muy Baja",'Mapa DIGSA'!$AF$52="Menor"),CONCATENATE("R7C",'Mapa DIGSA'!$T$52),"")</f>
        <v/>
      </c>
      <c r="U52" s="72" t="str">
        <f>IF(AND('Mapa DIGSA'!$AD$53="Muy Baja",'Mapa DIGSA'!$AF$53="Menor"),CONCATENATE("R7C",'Mapa DIGSA'!$T$53),"")</f>
        <v/>
      </c>
      <c r="V52" s="61" t="str">
        <f>IF(AND('Mapa DIGSA'!$AD$48="Muy Baja",'Mapa DIGSA'!$AF$48="Moderado"),CONCATENATE("R7C",'Mapa DIGSA'!$T$48),"")</f>
        <v/>
      </c>
      <c r="W52" s="62" t="str">
        <f>IF(AND('Mapa DIGSA'!$AD$49="Muy Baja",'Mapa DIGSA'!$AF$49="Moderado"),CONCATENATE("R7C",'Mapa DIGSA'!$T$49),"")</f>
        <v/>
      </c>
      <c r="X52" s="62" t="str">
        <f>IF(AND('Mapa DIGSA'!$AD$50="Muy Baja",'Mapa DIGSA'!$AF$50="Moderado"),CONCATENATE("R7C",'Mapa DIGSA'!$T$50),"")</f>
        <v/>
      </c>
      <c r="Y52" s="62" t="str">
        <f>IF(AND('Mapa DIGSA'!$AD$51="Muy Baja",'Mapa DIGSA'!$AF$51="Moderado"),CONCATENATE("R7C",'Mapa DIGSA'!$T$51),"")</f>
        <v/>
      </c>
      <c r="Z52" s="62" t="str">
        <f>IF(AND('Mapa DIGSA'!$AD$52="Muy Baja",'Mapa DIGSA'!$AF$52="Moderado"),CONCATENATE("R7C",'Mapa DIGSA'!$T$52),"")</f>
        <v/>
      </c>
      <c r="AA52" s="63" t="str">
        <f>IF(AND('Mapa DIGSA'!$AD$53="Muy Baja",'Mapa DIGSA'!$AF$53="Moderado"),CONCATENATE("R7C",'Mapa DIGSA'!$T$53),"")</f>
        <v>R7C6</v>
      </c>
      <c r="AB52" s="45" t="str">
        <f>IF(AND('Mapa DIGSA'!$AD$48="Muy Baja",'Mapa DIGSA'!$AF$48="Mayor"),CONCATENATE("R7C",'Mapa DIGSA'!$T$48),"")</f>
        <v/>
      </c>
      <c r="AC52" s="46" t="str">
        <f>IF(AND('Mapa DIGSA'!$AD$49="Muy Baja",'Mapa DIGSA'!$AF$49="Mayor"),CONCATENATE("R7C",'Mapa DIGSA'!$T$49),"")</f>
        <v/>
      </c>
      <c r="AD52" s="51" t="str">
        <f>IF(AND('Mapa DIGSA'!$AD$50="Muy Baja",'Mapa DIGSA'!$AF$50="Mayor"),CONCATENATE("R7C",'Mapa DIGSA'!$T$50),"")</f>
        <v>R7C3</v>
      </c>
      <c r="AE52" s="51" t="str">
        <f>IF(AND('Mapa DIGSA'!$AD$51="Muy Baja",'Mapa DIGSA'!$AF$51="Mayor"),CONCATENATE("R7C",'Mapa DIGSA'!$T$51),"")</f>
        <v>R7C4</v>
      </c>
      <c r="AF52" s="51" t="str">
        <f>IF(AND('Mapa DIGSA'!$AD$52="Muy Baja",'Mapa DIGSA'!$AF$52="Mayor"),CONCATENATE("R7C",'Mapa DIGSA'!$T$52),"")</f>
        <v>R7C5</v>
      </c>
      <c r="AG52" s="47" t="str">
        <f>IF(AND('Mapa DIGSA'!$AD$53="Muy Baja",'Mapa DIGSA'!$AF$53="Mayor"),CONCATENATE("R7C",'Mapa DIGSA'!$T$53),"")</f>
        <v/>
      </c>
      <c r="AH52" s="48" t="str">
        <f>IF(AND('Mapa DIGSA'!$AD$48="Muy Baja",'Mapa DIGSA'!$AF$48="Catastrófico"),CONCATENATE("R7C",'Mapa DIGSA'!$T$48),"")</f>
        <v/>
      </c>
      <c r="AI52" s="49" t="str">
        <f>IF(AND('Mapa DIGSA'!$AD$49="Muy Baja",'Mapa DIGSA'!$AF$49="Catastrófico"),CONCATENATE("R7C",'Mapa DIGSA'!$T$49),"")</f>
        <v/>
      </c>
      <c r="AJ52" s="49" t="str">
        <f>IF(AND('Mapa DIGSA'!$AD$50="Muy Baja",'Mapa DIGSA'!$AF$50="Catastrófico"),CONCATENATE("R7C",'Mapa DIGSA'!$T$50),"")</f>
        <v/>
      </c>
      <c r="AK52" s="49" t="str">
        <f>IF(AND('Mapa DIGSA'!$AD$51="Muy Baja",'Mapa DIGSA'!$AF$51="Catastrófico"),CONCATENATE("R7C",'Mapa DIGSA'!$T$51),"")</f>
        <v/>
      </c>
      <c r="AL52" s="49" t="str">
        <f>IF(AND('Mapa DIGSA'!$AD$52="Muy Baja",'Mapa DIGSA'!$AF$52="Catastrófico"),CONCATENATE("R7C",'Mapa DIGSA'!$T$52),"")</f>
        <v/>
      </c>
      <c r="AM52" s="50" t="str">
        <f>IF(AND('Mapa DIGSA'!$AD$53="Muy Baja",'Mapa DIGSA'!$AF$53="Catastrófico"),CONCATENATE("R7C",'Mapa DIGSA'!$T$53),"")</f>
        <v/>
      </c>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row>
    <row r="53" spans="1:80" ht="15" customHeight="1" x14ac:dyDescent="0.25">
      <c r="A53" s="10"/>
      <c r="B53" s="343"/>
      <c r="C53" s="343"/>
      <c r="D53" s="344"/>
      <c r="E53" s="384"/>
      <c r="F53" s="385"/>
      <c r="G53" s="385"/>
      <c r="H53" s="385"/>
      <c r="I53" s="386"/>
      <c r="J53" s="70" t="str">
        <f>IF(AND('Mapa DIGSA'!$AD$54="Muy Baja",'Mapa DIGSA'!$AF$54="Leve"),CONCATENATE("R8C",'Mapa DIGSA'!$T$54),"")</f>
        <v/>
      </c>
      <c r="K53" s="71" t="str">
        <f>IF(AND('Mapa DIGSA'!$AD$55="Muy Baja",'Mapa DIGSA'!$AF$55="Leve"),CONCATENATE("R8C",'Mapa DIGSA'!$T$55),"")</f>
        <v/>
      </c>
      <c r="L53" s="71" t="str">
        <f>IF(AND('Mapa DIGSA'!$AD$56="Muy Baja",'Mapa DIGSA'!$AF$56="Leve"),CONCATENATE("R8C",'Mapa DIGSA'!$T$56),"")</f>
        <v/>
      </c>
      <c r="M53" s="71" t="str">
        <f>IF(AND('Mapa DIGSA'!$AD$57="Muy Baja",'Mapa DIGSA'!$AF$57="Leve"),CONCATENATE("R8C",'Mapa DIGSA'!$T$57),"")</f>
        <v/>
      </c>
      <c r="N53" s="71" t="str">
        <f>IF(AND('Mapa DIGSA'!$AD$58="Muy Baja",'Mapa DIGSA'!$AF$58="Leve"),CONCATENATE("R8C",'Mapa DIGSA'!$T$58),"")</f>
        <v/>
      </c>
      <c r="O53" s="72" t="str">
        <f>IF(AND('Mapa DIGSA'!$AD$59="Muy Baja",'Mapa DIGSA'!$AF$59="Leve"),CONCATENATE("R8C",'Mapa DIGSA'!$T$59),"")</f>
        <v/>
      </c>
      <c r="P53" s="70" t="str">
        <f>IF(AND('Mapa DIGSA'!$AD$54="Muy Baja",'Mapa DIGSA'!$AF$54="Menor"),CONCATENATE("R8C",'Mapa DIGSA'!$T$54),"")</f>
        <v/>
      </c>
      <c r="Q53" s="71" t="str">
        <f>IF(AND('Mapa DIGSA'!$AD$55="Muy Baja",'Mapa DIGSA'!$AF$55="Menor"),CONCATENATE("R8C",'Mapa DIGSA'!$T$55),"")</f>
        <v/>
      </c>
      <c r="R53" s="71" t="str">
        <f>IF(AND('Mapa DIGSA'!$AD$56="Muy Baja",'Mapa DIGSA'!$AF$56="Menor"),CONCATENATE("R8C",'Mapa DIGSA'!$T$56),"")</f>
        <v/>
      </c>
      <c r="S53" s="71" t="str">
        <f>IF(AND('Mapa DIGSA'!$AD$57="Muy Baja",'Mapa DIGSA'!$AF$57="Menor"),CONCATENATE("R8C",'Mapa DIGSA'!$T$57),"")</f>
        <v/>
      </c>
      <c r="T53" s="71" t="str">
        <f>IF(AND('Mapa DIGSA'!$AD$58="Muy Baja",'Mapa DIGSA'!$AF$58="Menor"),CONCATENATE("R8C",'Mapa DIGSA'!$T$58),"")</f>
        <v/>
      </c>
      <c r="U53" s="72" t="str">
        <f>IF(AND('Mapa DIGSA'!$AD$59="Muy Baja",'Mapa DIGSA'!$AF$59="Menor"),CONCATENATE("R8C",'Mapa DIGSA'!$T$59),"")</f>
        <v/>
      </c>
      <c r="V53" s="61" t="str">
        <f>IF(AND('Mapa DIGSA'!$AD$54="Muy Baja",'Mapa DIGSA'!$AF$54="Moderado"),CONCATENATE("R8C",'Mapa DIGSA'!$T$54),"")</f>
        <v/>
      </c>
      <c r="W53" s="62" t="str">
        <f>IF(AND('Mapa DIGSA'!$AD$55="Muy Baja",'Mapa DIGSA'!$AF$55="Moderado"),CONCATENATE("R8C",'Mapa DIGSA'!$T$55),"")</f>
        <v/>
      </c>
      <c r="X53" s="62" t="str">
        <f>IF(AND('Mapa DIGSA'!$AD$56="Muy Baja",'Mapa DIGSA'!$AF$56="Moderado"),CONCATENATE("R8C",'Mapa DIGSA'!$T$56),"")</f>
        <v/>
      </c>
      <c r="Y53" s="62" t="str">
        <f>IF(AND('Mapa DIGSA'!$AD$57="Muy Baja",'Mapa DIGSA'!$AF$57="Moderado"),CONCATENATE("R8C",'Mapa DIGSA'!$T$57),"")</f>
        <v/>
      </c>
      <c r="Z53" s="62" t="str">
        <f>IF(AND('Mapa DIGSA'!$AD$58="Muy Baja",'Mapa DIGSA'!$AF$58="Moderado"),CONCATENATE("R8C",'Mapa DIGSA'!$T$58),"")</f>
        <v/>
      </c>
      <c r="AA53" s="63" t="str">
        <f>IF(AND('Mapa DIGSA'!$AD$59="Muy Baja",'Mapa DIGSA'!$AF$59="Moderado"),CONCATENATE("R8C",'Mapa DIGSA'!$T$59),"")</f>
        <v/>
      </c>
      <c r="AB53" s="45" t="str">
        <f>IF(AND('Mapa DIGSA'!$AD$54="Muy Baja",'Mapa DIGSA'!$AF$54="Mayor"),CONCATENATE("R8C",'Mapa DIGSA'!$T$54),"")</f>
        <v/>
      </c>
      <c r="AC53" s="46" t="str">
        <f>IF(AND('Mapa DIGSA'!$AD$55="Muy Baja",'Mapa DIGSA'!$AF$55="Mayor"),CONCATENATE("R8C",'Mapa DIGSA'!$T$55),"")</f>
        <v/>
      </c>
      <c r="AD53" s="51" t="str">
        <f>IF(AND('Mapa DIGSA'!$AD$56="Muy Baja",'Mapa DIGSA'!$AF$56="Mayor"),CONCATENATE("R8C",'Mapa DIGSA'!$T$56),"")</f>
        <v/>
      </c>
      <c r="AE53" s="51" t="str">
        <f>IF(AND('Mapa DIGSA'!$AD$57="Muy Baja",'Mapa DIGSA'!$AF$57="Mayor"),CONCATENATE("R8C",'Mapa DIGSA'!$T$57),"")</f>
        <v/>
      </c>
      <c r="AF53" s="51" t="str">
        <f>IF(AND('Mapa DIGSA'!$AD$58="Muy Baja",'Mapa DIGSA'!$AF$58="Mayor"),CONCATENATE("R8C",'Mapa DIGSA'!$T$58),"")</f>
        <v/>
      </c>
      <c r="AG53" s="47" t="str">
        <f>IF(AND('Mapa DIGSA'!$AD$59="Muy Baja",'Mapa DIGSA'!$AF$59="Mayor"),CONCATENATE("R8C",'Mapa DIGSA'!$T$59),"")</f>
        <v/>
      </c>
      <c r="AH53" s="48" t="str">
        <f>IF(AND('Mapa DIGSA'!$AD$54="Muy Baja",'Mapa DIGSA'!$AF$54="Catastrófico"),CONCATENATE("R8C",'Mapa DIGSA'!$T$54),"")</f>
        <v/>
      </c>
      <c r="AI53" s="49" t="str">
        <f>IF(AND('Mapa DIGSA'!$AD$55="Muy Baja",'Mapa DIGSA'!$AF$55="Catastrófico"),CONCATENATE("R8C",'Mapa DIGSA'!$T$55),"")</f>
        <v/>
      </c>
      <c r="AJ53" s="49" t="str">
        <f>IF(AND('Mapa DIGSA'!$AD$56="Muy Baja",'Mapa DIGSA'!$AF$56="Catastrófico"),CONCATENATE("R8C",'Mapa DIGSA'!$T$56),"")</f>
        <v>R8C3</v>
      </c>
      <c r="AK53" s="49" t="str">
        <f>IF(AND('Mapa DIGSA'!$AD$57="Muy Baja",'Mapa DIGSA'!$AF$57="Catastrófico"),CONCATENATE("R8C",'Mapa DIGSA'!$T$57),"")</f>
        <v>R8C4</v>
      </c>
      <c r="AL53" s="49" t="str">
        <f>IF(AND('Mapa DIGSA'!$AD$58="Muy Baja",'Mapa DIGSA'!$AF$58="Catastrófico"),CONCATENATE("R8C",'Mapa DIGSA'!$T$58),"")</f>
        <v>R8C5</v>
      </c>
      <c r="AM53" s="50" t="str">
        <f>IF(AND('Mapa DIGSA'!$AD$59="Muy Baja",'Mapa DIGSA'!$AF$59="Catastrófico"),CONCATENATE("R8C",'Mapa DIGSA'!$T$59),"")</f>
        <v>R8C6</v>
      </c>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row>
    <row r="54" spans="1:80" ht="15" customHeight="1" x14ac:dyDescent="0.25">
      <c r="A54" s="10"/>
      <c r="B54" s="343"/>
      <c r="C54" s="343"/>
      <c r="D54" s="344"/>
      <c r="E54" s="384"/>
      <c r="F54" s="385"/>
      <c r="G54" s="385"/>
      <c r="H54" s="385"/>
      <c r="I54" s="386"/>
      <c r="J54" s="70" t="str">
        <f>IF(AND('Mapa DIGSA'!$AD$60="Muy Baja",'Mapa DIGSA'!$AF$60="Leve"),CONCATENATE("R9C",'Mapa DIGSA'!$T$60),"")</f>
        <v/>
      </c>
      <c r="K54" s="71" t="str">
        <f>IF(AND('Mapa DIGSA'!$AD$61="Muy Baja",'Mapa DIGSA'!$AF$61="Leve"),CONCATENATE("R9C",'Mapa DIGSA'!$T$61),"")</f>
        <v/>
      </c>
      <c r="L54" s="71" t="str">
        <f>IF(AND('Mapa DIGSA'!$AD$62="Muy Baja",'Mapa DIGSA'!$AF$62="Leve"),CONCATENATE("R9C",'Mapa DIGSA'!$T$62),"")</f>
        <v/>
      </c>
      <c r="M54" s="71" t="str">
        <f>IF(AND('Mapa DIGSA'!$AD$63="Muy Baja",'Mapa DIGSA'!$AF$63="Leve"),CONCATENATE("R9C",'Mapa DIGSA'!$T$63),"")</f>
        <v/>
      </c>
      <c r="N54" s="71" t="str">
        <f>IF(AND('Mapa DIGSA'!$AD$64="Muy Baja",'Mapa DIGSA'!$AF$64="Leve"),CONCATENATE("R9C",'Mapa DIGSA'!$T$64),"")</f>
        <v/>
      </c>
      <c r="O54" s="72" t="str">
        <f>IF(AND('Mapa DIGSA'!$AD$65="Muy Baja",'Mapa DIGSA'!$AF$65="Leve"),CONCATENATE("R9C",'Mapa DIGSA'!$T$65),"")</f>
        <v/>
      </c>
      <c r="P54" s="70" t="str">
        <f>IF(AND('Mapa DIGSA'!$AD$60="Muy Baja",'Mapa DIGSA'!$AF$60="Menor"),CONCATENATE("R9C",'Mapa DIGSA'!$T$60),"")</f>
        <v/>
      </c>
      <c r="Q54" s="71" t="str">
        <f>IF(AND('Mapa DIGSA'!$AD$61="Muy Baja",'Mapa DIGSA'!$AF$61="Menor"),CONCATENATE("R9C",'Mapa DIGSA'!$T$61),"")</f>
        <v/>
      </c>
      <c r="R54" s="71" t="str">
        <f>IF(AND('Mapa DIGSA'!$AD$62="Muy Baja",'Mapa DIGSA'!$AF$62="Menor"),CONCATENATE("R9C",'Mapa DIGSA'!$T$62),"")</f>
        <v/>
      </c>
      <c r="S54" s="71" t="str">
        <f>IF(AND('Mapa DIGSA'!$AD$63="Muy Baja",'Mapa DIGSA'!$AF$63="Menor"),CONCATENATE("R9C",'Mapa DIGSA'!$T$63),"")</f>
        <v/>
      </c>
      <c r="T54" s="71" t="str">
        <f>IF(AND('Mapa DIGSA'!$AD$64="Muy Baja",'Mapa DIGSA'!$AF$64="Menor"),CONCATENATE("R9C",'Mapa DIGSA'!$T$64),"")</f>
        <v/>
      </c>
      <c r="U54" s="72" t="str">
        <f>IF(AND('Mapa DIGSA'!$AD$65="Muy Baja",'Mapa DIGSA'!$AF$65="Menor"),CONCATENATE("R9C",'Mapa DIGSA'!$T$65),"")</f>
        <v/>
      </c>
      <c r="V54" s="61" t="str">
        <f>IF(AND('Mapa DIGSA'!$AD$60="Muy Baja",'Mapa DIGSA'!$AF$60="Moderado"),CONCATENATE("R9C",'Mapa DIGSA'!$T$60),"")</f>
        <v/>
      </c>
      <c r="W54" s="62" t="str">
        <f>IF(AND('Mapa DIGSA'!$AD$61="Muy Baja",'Mapa DIGSA'!$AF$61="Moderado"),CONCATENATE("R9C",'Mapa DIGSA'!$T$61),"")</f>
        <v/>
      </c>
      <c r="X54" s="62" t="str">
        <f>IF(AND('Mapa DIGSA'!$AD$62="Muy Baja",'Mapa DIGSA'!$AF$62="Moderado"),CONCATENATE("R9C",'Mapa DIGSA'!$T$62),"")</f>
        <v/>
      </c>
      <c r="Y54" s="62" t="str">
        <f>IF(AND('Mapa DIGSA'!$AD$63="Muy Baja",'Mapa DIGSA'!$AF$63="Moderado"),CONCATENATE("R9C",'Mapa DIGSA'!$T$63),"")</f>
        <v/>
      </c>
      <c r="Z54" s="62" t="str">
        <f>IF(AND('Mapa DIGSA'!$AD$64="Muy Baja",'Mapa DIGSA'!$AF$64="Moderado"),CONCATENATE("R9C",'Mapa DIGSA'!$T$64),"")</f>
        <v/>
      </c>
      <c r="AA54" s="63" t="str">
        <f>IF(AND('Mapa DIGSA'!$AD$65="Muy Baja",'Mapa DIGSA'!$AF$65="Moderado"),CONCATENATE("R9C",'Mapa DIGSA'!$T$65),"")</f>
        <v/>
      </c>
      <c r="AB54" s="45" t="str">
        <f>IF(AND('Mapa DIGSA'!$AD$60="Muy Baja",'Mapa DIGSA'!$AF$60="Mayor"),CONCATENATE("R9C",'Mapa DIGSA'!$T$60),"")</f>
        <v/>
      </c>
      <c r="AC54" s="46" t="str">
        <f>IF(AND('Mapa DIGSA'!$AD$61="Muy Baja",'Mapa DIGSA'!$AF$61="Mayor"),CONCATENATE("R9C",'Mapa DIGSA'!$T$61),"")</f>
        <v/>
      </c>
      <c r="AD54" s="51" t="str">
        <f>IF(AND('Mapa DIGSA'!$AD$62="Muy Baja",'Mapa DIGSA'!$AF$62="Mayor"),CONCATENATE("R9C",'Mapa DIGSA'!$T$62),"")</f>
        <v/>
      </c>
      <c r="AE54" s="51" t="str">
        <f>IF(AND('Mapa DIGSA'!$AD$63="Muy Baja",'Mapa DIGSA'!$AF$63="Mayor"),CONCATENATE("R9C",'Mapa DIGSA'!$T$63),"")</f>
        <v/>
      </c>
      <c r="AF54" s="51" t="str">
        <f>IF(AND('Mapa DIGSA'!$AD$64="Muy Baja",'Mapa DIGSA'!$AF$64="Mayor"),CONCATENATE("R9C",'Mapa DIGSA'!$T$64),"")</f>
        <v/>
      </c>
      <c r="AG54" s="47" t="str">
        <f>IF(AND('Mapa DIGSA'!$AD$65="Muy Baja",'Mapa DIGSA'!$AF$65="Mayor"),CONCATENATE("R9C",'Mapa DIGSA'!$T$65),"")</f>
        <v/>
      </c>
      <c r="AH54" s="48" t="str">
        <f>IF(AND('Mapa DIGSA'!$AD$60="Muy Baja",'Mapa DIGSA'!$AF$60="Catastrófico"),CONCATENATE("R9C",'Mapa DIGSA'!$T$60),"")</f>
        <v/>
      </c>
      <c r="AI54" s="49" t="str">
        <f>IF(AND('Mapa DIGSA'!$AD$61="Muy Baja",'Mapa DIGSA'!$AF$61="Catastrófico"),CONCATENATE("R9C",'Mapa DIGSA'!$T$61),"")</f>
        <v/>
      </c>
      <c r="AJ54" s="49" t="str">
        <f>IF(AND('Mapa DIGSA'!$AD$62="Muy Baja",'Mapa DIGSA'!$AF$62="Catastrófico"),CONCATENATE("R9C",'Mapa DIGSA'!$T$62),"")</f>
        <v>R9C3</v>
      </c>
      <c r="AK54" s="49" t="str">
        <f>IF(AND('Mapa DIGSA'!$AD$63="Muy Baja",'Mapa DIGSA'!$AF$63="Catastrófico"),CONCATENATE("R9C",'Mapa DIGSA'!$T$63),"")</f>
        <v/>
      </c>
      <c r="AL54" s="49" t="str">
        <f>IF(AND('Mapa DIGSA'!$AD$64="Muy Baja",'Mapa DIGSA'!$AF$64="Catastrófico"),CONCATENATE("R9C",'Mapa DIGSA'!$T$64),"")</f>
        <v/>
      </c>
      <c r="AM54" s="50" t="str">
        <f>IF(AND('Mapa DIGSA'!$AD$65="Muy Baja",'Mapa DIGSA'!$AF$65="Catastrófico"),CONCATENATE("R9C",'Mapa DIGSA'!$T$65),"")</f>
        <v/>
      </c>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row>
    <row r="55" spans="1:80" ht="15.75" customHeight="1" thickBot="1" x14ac:dyDescent="0.3">
      <c r="A55" s="10"/>
      <c r="B55" s="343"/>
      <c r="C55" s="343"/>
      <c r="D55" s="344"/>
      <c r="E55" s="387"/>
      <c r="F55" s="388"/>
      <c r="G55" s="388"/>
      <c r="H55" s="388"/>
      <c r="I55" s="389"/>
      <c r="J55" s="73" t="str">
        <f>IF(AND('Mapa DIGSA'!$AD$66="Muy Baja",'Mapa DIGSA'!$AF$66="Leve"),CONCATENATE("R10C",'Mapa DIGSA'!$T$66),"")</f>
        <v/>
      </c>
      <c r="K55" s="74" t="str">
        <f>IF(AND('Mapa DIGSA'!$AD$67="Muy Baja",'Mapa DIGSA'!$AF$67="Leve"),CONCATENATE("R10C",'Mapa DIGSA'!$T$67),"")</f>
        <v/>
      </c>
      <c r="L55" s="74" t="str">
        <f>IF(AND('Mapa DIGSA'!$AD$68="Muy Baja",'Mapa DIGSA'!$AF$68="Leve"),CONCATENATE("R10C",'Mapa DIGSA'!$T$68),"")</f>
        <v/>
      </c>
      <c r="M55" s="74" t="str">
        <f>IF(AND('Mapa DIGSA'!$AD$69="Muy Baja",'Mapa DIGSA'!$AF$69="Leve"),CONCATENATE("R10C",'Mapa DIGSA'!$T$69),"")</f>
        <v/>
      </c>
      <c r="N55" s="74" t="str">
        <f>IF(AND('Mapa DIGSA'!$AD$70="Muy Baja",'Mapa DIGSA'!$AF$70="Leve"),CONCATENATE("R10C",'Mapa DIGSA'!$T$70),"")</f>
        <v/>
      </c>
      <c r="O55" s="75" t="e">
        <f>IF(AND('Mapa DIGSA'!#REF!="Muy Baja",'Mapa DIGSA'!#REF!="Leve"),CONCATENATE("R10C",'Mapa DIGSA'!#REF!),"")</f>
        <v>#REF!</v>
      </c>
      <c r="P55" s="73" t="str">
        <f>IF(AND('Mapa DIGSA'!$AD$66="Muy Baja",'Mapa DIGSA'!$AF$66="Menor"),CONCATENATE("R10C",'Mapa DIGSA'!$T$66),"")</f>
        <v/>
      </c>
      <c r="Q55" s="74" t="str">
        <f>IF(AND('Mapa DIGSA'!$AD$67="Muy Baja",'Mapa DIGSA'!$AF$67="Menor"),CONCATENATE("R10C",'Mapa DIGSA'!$T$67),"")</f>
        <v/>
      </c>
      <c r="R55" s="74" t="str">
        <f>IF(AND('Mapa DIGSA'!$AD$68="Muy Baja",'Mapa DIGSA'!$AF$68="Menor"),CONCATENATE("R10C",'Mapa DIGSA'!$T$68),"")</f>
        <v/>
      </c>
      <c r="S55" s="74" t="str">
        <f>IF(AND('Mapa DIGSA'!$AD$69="Muy Baja",'Mapa DIGSA'!$AF$69="Menor"),CONCATENATE("R10C",'Mapa DIGSA'!$T$69),"")</f>
        <v/>
      </c>
      <c r="T55" s="74" t="str">
        <f>IF(AND('Mapa DIGSA'!$AD$70="Muy Baja",'Mapa DIGSA'!$AF$70="Menor"),CONCATENATE("R10C",'Mapa DIGSA'!$T$70),"")</f>
        <v/>
      </c>
      <c r="U55" s="75" t="e">
        <f>IF(AND('Mapa DIGSA'!#REF!="Muy Baja",'Mapa DIGSA'!#REF!="Menor"),CONCATENATE("R10C",'Mapa DIGSA'!#REF!),"")</f>
        <v>#REF!</v>
      </c>
      <c r="V55" s="64" t="str">
        <f>IF(AND('Mapa DIGSA'!$AD$66="Muy Baja",'Mapa DIGSA'!$AF$66="Moderado"),CONCATENATE("R10C",'Mapa DIGSA'!$T$66),"")</f>
        <v/>
      </c>
      <c r="W55" s="65" t="str">
        <f>IF(AND('Mapa DIGSA'!$AD$67="Muy Baja",'Mapa DIGSA'!$AF$67="Moderado"),CONCATENATE("R10C",'Mapa DIGSA'!$T$67),"")</f>
        <v/>
      </c>
      <c r="X55" s="65" t="str">
        <f>IF(AND('Mapa DIGSA'!$AD$68="Muy Baja",'Mapa DIGSA'!$AF$68="Moderado"),CONCATENATE("R10C",'Mapa DIGSA'!$T$68),"")</f>
        <v/>
      </c>
      <c r="Y55" s="65" t="str">
        <f>IF(AND('Mapa DIGSA'!$AD$69="Muy Baja",'Mapa DIGSA'!$AF$69="Moderado"),CONCATENATE("R10C",'Mapa DIGSA'!$T$69),"")</f>
        <v/>
      </c>
      <c r="Z55" s="65" t="str">
        <f>IF(AND('Mapa DIGSA'!$AD$70="Muy Baja",'Mapa DIGSA'!$AF$70="Moderado"),CONCATENATE("R10C",'Mapa DIGSA'!$T$70),"")</f>
        <v/>
      </c>
      <c r="AA55" s="66" t="e">
        <f>IF(AND('Mapa DIGSA'!#REF!="Muy Baja",'Mapa DIGSA'!#REF!="Moderado"),CONCATENATE("R10C",'Mapa DIGSA'!#REF!),"")</f>
        <v>#REF!</v>
      </c>
      <c r="AB55" s="52" t="str">
        <f>IF(AND('Mapa DIGSA'!$AD$66="Muy Baja",'Mapa DIGSA'!$AF$66="Mayor"),CONCATENATE("R10C",'Mapa DIGSA'!$T$66),"")</f>
        <v/>
      </c>
      <c r="AC55" s="53" t="str">
        <f>IF(AND('Mapa DIGSA'!$AD$67="Muy Baja",'Mapa DIGSA'!$AF$67="Mayor"),CONCATENATE("R10C",'Mapa DIGSA'!$T$67),"")</f>
        <v/>
      </c>
      <c r="AD55" s="53" t="str">
        <f>IF(AND('Mapa DIGSA'!$AD$68="Muy Baja",'Mapa DIGSA'!$AF$68="Mayor"),CONCATENATE("R10C",'Mapa DIGSA'!$T$68),"")</f>
        <v/>
      </c>
      <c r="AE55" s="53" t="str">
        <f>IF(AND('Mapa DIGSA'!$AD$69="Muy Baja",'Mapa DIGSA'!$AF$69="Mayor"),CONCATENATE("R10C",'Mapa DIGSA'!$T$69),"")</f>
        <v/>
      </c>
      <c r="AF55" s="53" t="str">
        <f>IF(AND('Mapa DIGSA'!$AD$70="Muy Baja",'Mapa DIGSA'!$AF$70="Mayor"),CONCATENATE("R10C",'Mapa DIGSA'!$T$70),"")</f>
        <v/>
      </c>
      <c r="AG55" s="54" t="e">
        <f>IF(AND('Mapa DIGSA'!#REF!="Muy Baja",'Mapa DIGSA'!#REF!="Mayor"),CONCATENATE("R10C",'Mapa DIGSA'!#REF!),"")</f>
        <v>#REF!</v>
      </c>
      <c r="AH55" s="55" t="str">
        <f>IF(AND('Mapa DIGSA'!$AD$66="Muy Baja",'Mapa DIGSA'!$AF$66="Catastrófico"),CONCATENATE("R10C",'Mapa DIGSA'!$T$66),"")</f>
        <v/>
      </c>
      <c r="AI55" s="56" t="str">
        <f>IF(AND('Mapa DIGSA'!$AD$67="Muy Baja",'Mapa DIGSA'!$AF$67="Catastrófico"),CONCATENATE("R10C",'Mapa DIGSA'!$T$67),"")</f>
        <v/>
      </c>
      <c r="AJ55" s="56" t="str">
        <f>IF(AND('Mapa DIGSA'!$AD$68="Muy Baja",'Mapa DIGSA'!$AF$68="Catastrófico"),CONCATENATE("R10C",'Mapa DIGSA'!$T$68),"")</f>
        <v>R10C3</v>
      </c>
      <c r="AK55" s="56" t="str">
        <f>IF(AND('Mapa DIGSA'!$AD$69="Muy Baja",'Mapa DIGSA'!$AF$69="Catastrófico"),CONCATENATE("R10C",'Mapa DIGSA'!$T$69),"")</f>
        <v>R10C4</v>
      </c>
      <c r="AL55" s="56" t="str">
        <f>IF(AND('Mapa DIGSA'!$AD$70="Muy Baja",'Mapa DIGSA'!$AF$70="Catastrófico"),CONCATENATE("R10C",'Mapa DIGSA'!$T$70),"")</f>
        <v>R10C5</v>
      </c>
      <c r="AM55" s="57" t="e">
        <f>IF(AND('Mapa DIGSA'!#REF!="Muy Baja",'Mapa DIGSA'!#REF!="Catastrófico"),CONCATENATE("R10C",'Mapa DIGSA'!#REF!),"")</f>
        <v>#REF!</v>
      </c>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row>
    <row r="56" spans="1:80" x14ac:dyDescent="0.2">
      <c r="A56" s="10"/>
      <c r="B56" s="10"/>
      <c r="C56" s="10"/>
      <c r="D56" s="10"/>
      <c r="E56" s="10"/>
      <c r="F56" s="10"/>
      <c r="G56" s="10"/>
      <c r="H56" s="10"/>
      <c r="I56" s="10"/>
      <c r="J56" s="381" t="s">
        <v>105</v>
      </c>
      <c r="K56" s="382"/>
      <c r="L56" s="382"/>
      <c r="M56" s="382"/>
      <c r="N56" s="382"/>
      <c r="O56" s="383"/>
      <c r="P56" s="381" t="s">
        <v>104</v>
      </c>
      <c r="Q56" s="382"/>
      <c r="R56" s="382"/>
      <c r="S56" s="382"/>
      <c r="T56" s="382"/>
      <c r="U56" s="383"/>
      <c r="V56" s="381" t="s">
        <v>103</v>
      </c>
      <c r="W56" s="382"/>
      <c r="X56" s="382"/>
      <c r="Y56" s="382"/>
      <c r="Z56" s="382"/>
      <c r="AA56" s="383"/>
      <c r="AB56" s="381" t="s">
        <v>102</v>
      </c>
      <c r="AC56" s="390"/>
      <c r="AD56" s="382"/>
      <c r="AE56" s="382"/>
      <c r="AF56" s="382"/>
      <c r="AG56" s="383"/>
      <c r="AH56" s="381" t="s">
        <v>101</v>
      </c>
      <c r="AI56" s="382"/>
      <c r="AJ56" s="382"/>
      <c r="AK56" s="382"/>
      <c r="AL56" s="382"/>
      <c r="AM56" s="383"/>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row>
    <row r="57" spans="1:80" x14ac:dyDescent="0.2">
      <c r="A57" s="10"/>
      <c r="B57" s="10"/>
      <c r="C57" s="10"/>
      <c r="D57" s="10"/>
      <c r="E57" s="10"/>
      <c r="F57" s="10"/>
      <c r="G57" s="10"/>
      <c r="H57" s="10"/>
      <c r="I57" s="10"/>
      <c r="J57" s="384"/>
      <c r="K57" s="385"/>
      <c r="L57" s="385"/>
      <c r="M57" s="385"/>
      <c r="N57" s="385"/>
      <c r="O57" s="386"/>
      <c r="P57" s="384"/>
      <c r="Q57" s="385"/>
      <c r="R57" s="385"/>
      <c r="S57" s="385"/>
      <c r="T57" s="385"/>
      <c r="U57" s="386"/>
      <c r="V57" s="384"/>
      <c r="W57" s="385"/>
      <c r="X57" s="385"/>
      <c r="Y57" s="385"/>
      <c r="Z57" s="385"/>
      <c r="AA57" s="386"/>
      <c r="AB57" s="384"/>
      <c r="AC57" s="385"/>
      <c r="AD57" s="385"/>
      <c r="AE57" s="385"/>
      <c r="AF57" s="385"/>
      <c r="AG57" s="386"/>
      <c r="AH57" s="384"/>
      <c r="AI57" s="385"/>
      <c r="AJ57" s="385"/>
      <c r="AK57" s="385"/>
      <c r="AL57" s="385"/>
      <c r="AM57" s="386"/>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row>
    <row r="58" spans="1:80" x14ac:dyDescent="0.2">
      <c r="A58" s="10"/>
      <c r="B58" s="10"/>
      <c r="C58" s="10"/>
      <c r="D58" s="10"/>
      <c r="E58" s="10"/>
      <c r="F58" s="10"/>
      <c r="G58" s="10"/>
      <c r="H58" s="10"/>
      <c r="I58" s="10"/>
      <c r="J58" s="384"/>
      <c r="K58" s="385"/>
      <c r="L58" s="385"/>
      <c r="M58" s="385"/>
      <c r="N58" s="385"/>
      <c r="O58" s="386"/>
      <c r="P58" s="384"/>
      <c r="Q58" s="385"/>
      <c r="R58" s="385"/>
      <c r="S58" s="385"/>
      <c r="T58" s="385"/>
      <c r="U58" s="386"/>
      <c r="V58" s="384"/>
      <c r="W58" s="385"/>
      <c r="X58" s="385"/>
      <c r="Y58" s="385"/>
      <c r="Z58" s="385"/>
      <c r="AA58" s="386"/>
      <c r="AB58" s="384"/>
      <c r="AC58" s="385"/>
      <c r="AD58" s="385"/>
      <c r="AE58" s="385"/>
      <c r="AF58" s="385"/>
      <c r="AG58" s="386"/>
      <c r="AH58" s="384"/>
      <c r="AI58" s="385"/>
      <c r="AJ58" s="385"/>
      <c r="AK58" s="385"/>
      <c r="AL58" s="385"/>
      <c r="AM58" s="386"/>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row>
    <row r="59" spans="1:80" x14ac:dyDescent="0.2">
      <c r="A59" s="10"/>
      <c r="B59" s="10"/>
      <c r="C59" s="10"/>
      <c r="D59" s="10"/>
      <c r="E59" s="10"/>
      <c r="F59" s="10"/>
      <c r="G59" s="10"/>
      <c r="H59" s="10"/>
      <c r="I59" s="10"/>
      <c r="J59" s="384"/>
      <c r="K59" s="385"/>
      <c r="L59" s="385"/>
      <c r="M59" s="385"/>
      <c r="N59" s="385"/>
      <c r="O59" s="386"/>
      <c r="P59" s="384"/>
      <c r="Q59" s="385"/>
      <c r="R59" s="385"/>
      <c r="S59" s="385"/>
      <c r="T59" s="385"/>
      <c r="U59" s="386"/>
      <c r="V59" s="384"/>
      <c r="W59" s="385"/>
      <c r="X59" s="385"/>
      <c r="Y59" s="385"/>
      <c r="Z59" s="385"/>
      <c r="AA59" s="386"/>
      <c r="AB59" s="384"/>
      <c r="AC59" s="385"/>
      <c r="AD59" s="385"/>
      <c r="AE59" s="385"/>
      <c r="AF59" s="385"/>
      <c r="AG59" s="386"/>
      <c r="AH59" s="384"/>
      <c r="AI59" s="385"/>
      <c r="AJ59" s="385"/>
      <c r="AK59" s="385"/>
      <c r="AL59" s="385"/>
      <c r="AM59" s="386"/>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row>
    <row r="60" spans="1:80" x14ac:dyDescent="0.2">
      <c r="A60" s="10"/>
      <c r="B60" s="10"/>
      <c r="C60" s="10"/>
      <c r="D60" s="10"/>
      <c r="E60" s="10"/>
      <c r="F60" s="10"/>
      <c r="G60" s="10"/>
      <c r="H60" s="10"/>
      <c r="I60" s="10"/>
      <c r="J60" s="384"/>
      <c r="K60" s="385"/>
      <c r="L60" s="385"/>
      <c r="M60" s="385"/>
      <c r="N60" s="385"/>
      <c r="O60" s="386"/>
      <c r="P60" s="384"/>
      <c r="Q60" s="385"/>
      <c r="R60" s="385"/>
      <c r="S60" s="385"/>
      <c r="T60" s="385"/>
      <c r="U60" s="386"/>
      <c r="V60" s="384"/>
      <c r="W60" s="385"/>
      <c r="X60" s="385"/>
      <c r="Y60" s="385"/>
      <c r="Z60" s="385"/>
      <c r="AA60" s="386"/>
      <c r="AB60" s="384"/>
      <c r="AC60" s="385"/>
      <c r="AD60" s="385"/>
      <c r="AE60" s="385"/>
      <c r="AF60" s="385"/>
      <c r="AG60" s="386"/>
      <c r="AH60" s="384"/>
      <c r="AI60" s="385"/>
      <c r="AJ60" s="385"/>
      <c r="AK60" s="385"/>
      <c r="AL60" s="385"/>
      <c r="AM60" s="386"/>
      <c r="AN60" s="10"/>
      <c r="AO60" s="10"/>
      <c r="AP60" s="10"/>
      <c r="AQ60" s="10"/>
      <c r="AR60" s="10"/>
      <c r="AS60" s="10"/>
      <c r="AT60" s="10"/>
      <c r="AU60" s="10"/>
      <c r="AV60" s="10"/>
      <c r="AW60" s="10"/>
      <c r="AX60" s="10"/>
      <c r="AY60" s="10"/>
      <c r="AZ60" s="10"/>
      <c r="BA60" s="10"/>
      <c r="BB60" s="10"/>
      <c r="BC60" s="10"/>
      <c r="BD60" s="10"/>
      <c r="BE60" s="10"/>
      <c r="BF60" s="10"/>
      <c r="BG60" s="10"/>
      <c r="BH60" s="10"/>
      <c r="BI60" s="10"/>
      <c r="BJ60" s="10"/>
      <c r="BK60" s="10"/>
      <c r="BL60" s="10"/>
      <c r="BM60" s="10"/>
      <c r="BN60" s="10"/>
      <c r="BO60" s="10"/>
      <c r="BP60" s="10"/>
      <c r="BQ60" s="10"/>
      <c r="BR60" s="10"/>
      <c r="BS60" s="10"/>
      <c r="BT60" s="10"/>
      <c r="BU60" s="10"/>
      <c r="BV60" s="10"/>
      <c r="BW60" s="10"/>
      <c r="BX60" s="10"/>
      <c r="BY60" s="10"/>
      <c r="BZ60" s="10"/>
      <c r="CA60" s="10"/>
      <c r="CB60" s="10"/>
    </row>
    <row r="61" spans="1:80" ht="15" thickBot="1" x14ac:dyDescent="0.25">
      <c r="A61" s="10"/>
      <c r="B61" s="10"/>
      <c r="C61" s="10"/>
      <c r="D61" s="10"/>
      <c r="E61" s="10"/>
      <c r="F61" s="10"/>
      <c r="G61" s="10"/>
      <c r="H61" s="10"/>
      <c r="I61" s="10"/>
      <c r="J61" s="387"/>
      <c r="K61" s="388"/>
      <c r="L61" s="388"/>
      <c r="M61" s="388"/>
      <c r="N61" s="388"/>
      <c r="O61" s="389"/>
      <c r="P61" s="387"/>
      <c r="Q61" s="388"/>
      <c r="R61" s="388"/>
      <c r="S61" s="388"/>
      <c r="T61" s="388"/>
      <c r="U61" s="389"/>
      <c r="V61" s="387"/>
      <c r="W61" s="388"/>
      <c r="X61" s="388"/>
      <c r="Y61" s="388"/>
      <c r="Z61" s="388"/>
      <c r="AA61" s="389"/>
      <c r="AB61" s="387"/>
      <c r="AC61" s="388"/>
      <c r="AD61" s="388"/>
      <c r="AE61" s="388"/>
      <c r="AF61" s="388"/>
      <c r="AG61" s="389"/>
      <c r="AH61" s="387"/>
      <c r="AI61" s="388"/>
      <c r="AJ61" s="388"/>
      <c r="AK61" s="388"/>
      <c r="AL61" s="388"/>
      <c r="AM61" s="389"/>
      <c r="AN61" s="10"/>
      <c r="AO61" s="10"/>
      <c r="AP61" s="10"/>
      <c r="AQ61" s="10"/>
      <c r="AR61" s="10"/>
      <c r="AS61" s="10"/>
      <c r="AT61" s="10"/>
      <c r="AU61" s="10"/>
      <c r="AV61" s="10"/>
      <c r="AW61" s="10"/>
      <c r="AX61" s="10"/>
      <c r="AY61" s="10"/>
      <c r="AZ61" s="10"/>
      <c r="BA61" s="10"/>
      <c r="BB61" s="10"/>
      <c r="BC61" s="10"/>
      <c r="BD61" s="10"/>
      <c r="BE61" s="10"/>
      <c r="BF61" s="10"/>
      <c r="BG61" s="10"/>
      <c r="BH61" s="10"/>
      <c r="BI61" s="10"/>
      <c r="BJ61" s="10"/>
      <c r="BK61" s="10"/>
      <c r="BL61" s="10"/>
      <c r="BM61" s="10"/>
      <c r="BN61" s="10"/>
      <c r="BO61" s="10"/>
      <c r="BP61" s="10"/>
      <c r="BQ61" s="10"/>
      <c r="BR61" s="10"/>
      <c r="BS61" s="10"/>
      <c r="BT61" s="10"/>
      <c r="BU61" s="10"/>
      <c r="BV61" s="10"/>
      <c r="BW61" s="10"/>
      <c r="BX61" s="10"/>
      <c r="BY61" s="10"/>
      <c r="BZ61" s="10"/>
      <c r="CA61" s="10"/>
      <c r="CB61" s="10"/>
    </row>
    <row r="62" spans="1:80" x14ac:dyDescent="0.2">
      <c r="A62" s="10"/>
      <c r="B62" s="10"/>
      <c r="C62" s="10"/>
      <c r="D62" s="10"/>
      <c r="E62" s="10"/>
      <c r="F62" s="10"/>
      <c r="G62" s="10"/>
      <c r="H62" s="10"/>
      <c r="I62" s="10"/>
      <c r="J62" s="10"/>
      <c r="K62" s="10"/>
      <c r="L62" s="10"/>
      <c r="M62" s="10"/>
      <c r="N62" s="10"/>
      <c r="O62" s="10"/>
      <c r="P62" s="10"/>
      <c r="Q62" s="10"/>
      <c r="R62" s="10"/>
      <c r="S62" s="10"/>
      <c r="T62" s="10"/>
      <c r="U62" s="10"/>
      <c r="V62" s="10"/>
      <c r="W62" s="10"/>
      <c r="X62" s="10"/>
      <c r="Y62" s="10"/>
      <c r="Z62" s="10"/>
      <c r="AA62" s="10"/>
      <c r="AB62" s="10"/>
      <c r="AC62" s="10"/>
      <c r="AD62" s="10"/>
      <c r="AE62" s="10"/>
      <c r="AF62" s="10"/>
      <c r="AG62" s="10"/>
      <c r="AH62" s="10"/>
      <c r="AI62" s="10"/>
      <c r="AJ62" s="10"/>
      <c r="AK62" s="10"/>
      <c r="AL62" s="10"/>
      <c r="AM62" s="10"/>
      <c r="AN62" s="10"/>
      <c r="AO62" s="10"/>
      <c r="AP62" s="10"/>
      <c r="AQ62" s="10"/>
      <c r="AR62" s="10"/>
      <c r="AS62" s="10"/>
      <c r="AT62" s="10"/>
      <c r="AU62" s="10"/>
      <c r="AV62" s="10"/>
      <c r="AW62" s="10"/>
      <c r="AX62" s="10"/>
      <c r="AY62" s="10"/>
      <c r="AZ62" s="10"/>
      <c r="BA62" s="10"/>
      <c r="BB62" s="10"/>
      <c r="BC62" s="10"/>
      <c r="BD62" s="10"/>
      <c r="BE62" s="10"/>
      <c r="BF62" s="10"/>
      <c r="BG62" s="10"/>
      <c r="BH62" s="10"/>
    </row>
    <row r="63" spans="1:80" ht="15" customHeight="1" x14ac:dyDescent="0.2">
      <c r="A63" s="10"/>
      <c r="B63" s="38"/>
      <c r="C63" s="38"/>
      <c r="D63" s="38"/>
      <c r="E63" s="38"/>
      <c r="F63" s="38"/>
      <c r="G63" s="38"/>
      <c r="H63" s="38"/>
      <c r="I63" s="38"/>
      <c r="J63" s="38"/>
      <c r="K63" s="38"/>
      <c r="L63" s="38"/>
      <c r="M63" s="38"/>
      <c r="N63" s="38"/>
      <c r="O63" s="38"/>
      <c r="P63" s="38"/>
      <c r="Q63" s="38"/>
      <c r="R63" s="38"/>
      <c r="S63" s="38"/>
      <c r="T63" s="38"/>
      <c r="U63" s="38"/>
      <c r="V63" s="38"/>
      <c r="W63" s="38"/>
      <c r="X63" s="38"/>
      <c r="Y63" s="38"/>
      <c r="Z63" s="38"/>
      <c r="AA63" s="38"/>
      <c r="AB63" s="38"/>
      <c r="AC63" s="38"/>
      <c r="AD63" s="38"/>
      <c r="AE63" s="38"/>
      <c r="AF63" s="38"/>
      <c r="AG63" s="38"/>
      <c r="AH63" s="38"/>
      <c r="AI63" s="38"/>
      <c r="AJ63" s="38"/>
      <c r="AK63" s="38"/>
      <c r="AL63" s="38"/>
      <c r="AM63" s="38"/>
      <c r="AN63" s="38"/>
      <c r="AO63" s="38"/>
      <c r="AP63" s="38"/>
      <c r="AQ63" s="38"/>
      <c r="AR63" s="38"/>
      <c r="AS63" s="38"/>
      <c r="AT63" s="38"/>
      <c r="AU63" s="10"/>
      <c r="AV63" s="10"/>
      <c r="AW63" s="10"/>
      <c r="AX63" s="10"/>
      <c r="AY63" s="10"/>
      <c r="AZ63" s="10"/>
      <c r="BA63" s="10"/>
      <c r="BB63" s="10"/>
      <c r="BC63" s="10"/>
      <c r="BD63" s="10"/>
      <c r="BE63" s="10"/>
      <c r="BF63" s="10"/>
      <c r="BG63" s="10"/>
      <c r="BH63" s="10"/>
    </row>
    <row r="64" spans="1:80" ht="15" customHeight="1" x14ac:dyDescent="0.2">
      <c r="A64" s="10"/>
      <c r="B64" s="38"/>
      <c r="C64" s="38"/>
      <c r="D64" s="38"/>
      <c r="E64" s="38"/>
      <c r="F64" s="38"/>
      <c r="G64" s="38"/>
      <c r="H64" s="38"/>
      <c r="I64" s="38"/>
      <c r="J64" s="38"/>
      <c r="K64" s="38"/>
      <c r="L64" s="38"/>
      <c r="M64" s="38"/>
      <c r="N64" s="38"/>
      <c r="O64" s="38"/>
      <c r="P64" s="38"/>
      <c r="Q64" s="38"/>
      <c r="R64" s="38"/>
      <c r="S64" s="38"/>
      <c r="T64" s="38"/>
      <c r="U64" s="38"/>
      <c r="V64" s="38"/>
      <c r="W64" s="38"/>
      <c r="X64" s="38"/>
      <c r="Y64" s="38"/>
      <c r="Z64" s="38"/>
      <c r="AA64" s="38"/>
      <c r="AB64" s="38"/>
      <c r="AC64" s="38"/>
      <c r="AD64" s="38"/>
      <c r="AE64" s="38"/>
      <c r="AF64" s="38"/>
      <c r="AG64" s="38"/>
      <c r="AH64" s="38"/>
      <c r="AI64" s="38"/>
      <c r="AJ64" s="38"/>
      <c r="AK64" s="38"/>
      <c r="AL64" s="38"/>
      <c r="AM64" s="38"/>
      <c r="AN64" s="38"/>
      <c r="AO64" s="38"/>
      <c r="AP64" s="38"/>
      <c r="AQ64" s="38"/>
      <c r="AR64" s="38"/>
      <c r="AS64" s="38"/>
      <c r="AT64" s="38"/>
      <c r="AU64" s="10"/>
      <c r="AV64" s="10"/>
      <c r="AW64" s="10"/>
      <c r="AX64" s="10"/>
      <c r="AY64" s="10"/>
      <c r="AZ64" s="10"/>
      <c r="BA64" s="10"/>
      <c r="BB64" s="10"/>
      <c r="BC64" s="10"/>
      <c r="BD64" s="10"/>
      <c r="BE64" s="10"/>
      <c r="BF64" s="10"/>
      <c r="BG64" s="10"/>
      <c r="BH64" s="10"/>
    </row>
    <row r="65" spans="1:60" x14ac:dyDescent="0.2">
      <c r="A65" s="10"/>
      <c r="B65" s="10"/>
      <c r="C65" s="10"/>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row>
    <row r="66" spans="1:60" x14ac:dyDescent="0.2">
      <c r="A66" s="10"/>
      <c r="B66" s="10"/>
      <c r="C66" s="10"/>
      <c r="D66" s="10"/>
      <c r="E66" s="10"/>
      <c r="F66" s="10"/>
      <c r="G66" s="10"/>
      <c r="H66" s="10"/>
      <c r="I66" s="10"/>
      <c r="J66" s="10"/>
      <c r="K66" s="10"/>
      <c r="L66" s="10"/>
      <c r="M66" s="10"/>
      <c r="N66" s="10"/>
      <c r="O66" s="10"/>
      <c r="P66" s="10"/>
      <c r="Q66" s="10"/>
      <c r="R66" s="10"/>
      <c r="S66" s="10"/>
      <c r="T66" s="10"/>
      <c r="U66" s="10"/>
      <c r="V66" s="10"/>
      <c r="W66" s="10"/>
      <c r="X66" s="10"/>
      <c r="Y66" s="10"/>
      <c r="Z66" s="10"/>
      <c r="AA66" s="10"/>
      <c r="AB66" s="10"/>
      <c r="AC66" s="10"/>
      <c r="AD66" s="10"/>
      <c r="AE66" s="10"/>
      <c r="AF66" s="10"/>
      <c r="AG66" s="10"/>
      <c r="AH66" s="10"/>
      <c r="AI66" s="10"/>
      <c r="AJ66" s="10"/>
      <c r="AK66" s="10"/>
      <c r="AL66" s="10"/>
      <c r="AM66" s="10"/>
      <c r="AN66" s="10"/>
      <c r="AO66" s="10"/>
      <c r="AP66" s="10"/>
      <c r="AQ66" s="10"/>
      <c r="AR66" s="10"/>
      <c r="AS66" s="10"/>
      <c r="AT66" s="10"/>
      <c r="AU66" s="10"/>
      <c r="AV66" s="10"/>
      <c r="AW66" s="10"/>
      <c r="AX66" s="10"/>
      <c r="AY66" s="10"/>
      <c r="AZ66" s="10"/>
      <c r="BA66" s="10"/>
      <c r="BB66" s="10"/>
      <c r="BC66" s="10"/>
      <c r="BD66" s="10"/>
      <c r="BE66" s="10"/>
      <c r="BF66" s="10"/>
      <c r="BG66" s="10"/>
      <c r="BH66" s="10"/>
    </row>
    <row r="67" spans="1:60" x14ac:dyDescent="0.2">
      <c r="A67" s="10"/>
      <c r="B67" s="10"/>
      <c r="C67" s="10"/>
      <c r="D67" s="10"/>
      <c r="E67" s="10"/>
      <c r="F67" s="10"/>
      <c r="G67" s="10"/>
      <c r="H67" s="10"/>
      <c r="I67" s="10"/>
      <c r="J67" s="10"/>
      <c r="K67" s="10"/>
      <c r="L67" s="10"/>
      <c r="M67" s="10"/>
      <c r="N67" s="10"/>
      <c r="O67" s="10"/>
      <c r="P67" s="10"/>
      <c r="Q67" s="10"/>
      <c r="R67" s="10"/>
      <c r="S67" s="10"/>
      <c r="T67" s="10"/>
      <c r="U67" s="10"/>
      <c r="V67" s="10"/>
      <c r="W67" s="10"/>
      <c r="X67" s="10"/>
      <c r="Y67" s="10"/>
      <c r="Z67" s="10"/>
      <c r="AA67" s="10"/>
      <c r="AB67" s="10"/>
      <c r="AC67" s="10"/>
      <c r="AD67" s="10"/>
      <c r="AE67" s="10"/>
      <c r="AF67" s="10"/>
      <c r="AG67" s="10"/>
      <c r="AH67" s="10"/>
      <c r="AI67" s="10"/>
      <c r="AJ67" s="10"/>
      <c r="AK67" s="10"/>
      <c r="AL67" s="10"/>
      <c r="AM67" s="10"/>
      <c r="AN67" s="10"/>
      <c r="AO67" s="10"/>
      <c r="AP67" s="10"/>
      <c r="AQ67" s="10"/>
      <c r="AR67" s="10"/>
      <c r="AS67" s="10"/>
      <c r="AT67" s="10"/>
      <c r="AU67" s="10"/>
      <c r="AV67" s="10"/>
      <c r="AW67" s="10"/>
      <c r="AX67" s="10"/>
      <c r="AY67" s="10"/>
      <c r="AZ67" s="10"/>
      <c r="BA67" s="10"/>
      <c r="BB67" s="10"/>
      <c r="BC67" s="10"/>
      <c r="BD67" s="10"/>
      <c r="BE67" s="10"/>
      <c r="BF67" s="10"/>
      <c r="BG67" s="10"/>
      <c r="BH67" s="10"/>
    </row>
    <row r="68" spans="1:60" x14ac:dyDescent="0.2">
      <c r="A68" s="10"/>
      <c r="B68" s="10"/>
      <c r="C68" s="10"/>
      <c r="D68" s="10"/>
      <c r="E68" s="10"/>
      <c r="F68" s="10"/>
      <c r="G68" s="10"/>
      <c r="H68" s="10"/>
      <c r="I68" s="10"/>
      <c r="J68" s="10"/>
      <c r="K68" s="10"/>
      <c r="L68" s="10"/>
      <c r="M68" s="10"/>
      <c r="N68" s="10"/>
      <c r="O68" s="10"/>
      <c r="P68" s="10"/>
      <c r="Q68" s="10"/>
      <c r="R68" s="10"/>
      <c r="S68" s="10"/>
      <c r="T68" s="10"/>
      <c r="U68" s="10"/>
      <c r="V68" s="10"/>
      <c r="W68" s="10"/>
      <c r="X68" s="10"/>
      <c r="Y68" s="10"/>
      <c r="Z68" s="10"/>
      <c r="AA68" s="10"/>
      <c r="AB68" s="10"/>
      <c r="AC68" s="10"/>
      <c r="AD68" s="10"/>
      <c r="AE68" s="10"/>
      <c r="AF68" s="10"/>
      <c r="AG68" s="10"/>
      <c r="AH68" s="10"/>
      <c r="AI68" s="10"/>
      <c r="AJ68" s="10"/>
      <c r="AK68" s="10"/>
      <c r="AL68" s="10"/>
      <c r="AM68" s="10"/>
      <c r="AN68" s="10"/>
      <c r="AO68" s="10"/>
      <c r="AP68" s="10"/>
      <c r="AQ68" s="10"/>
      <c r="AR68" s="10"/>
      <c r="AS68" s="10"/>
      <c r="AT68" s="10"/>
      <c r="AU68" s="10"/>
      <c r="AV68" s="10"/>
      <c r="AW68" s="10"/>
      <c r="AX68" s="10"/>
      <c r="AY68" s="10"/>
      <c r="AZ68" s="10"/>
      <c r="BA68" s="10"/>
      <c r="BB68" s="10"/>
      <c r="BC68" s="10"/>
      <c r="BD68" s="10"/>
      <c r="BE68" s="10"/>
      <c r="BF68" s="10"/>
      <c r="BG68" s="10"/>
      <c r="BH68" s="10"/>
    </row>
    <row r="69" spans="1:60" x14ac:dyDescent="0.2">
      <c r="A69" s="10"/>
      <c r="B69" s="10"/>
      <c r="C69" s="10"/>
      <c r="D69" s="10"/>
      <c r="E69" s="10"/>
      <c r="F69" s="10"/>
      <c r="G69" s="10"/>
      <c r="H69" s="10"/>
      <c r="I69" s="10"/>
      <c r="J69" s="10"/>
      <c r="K69" s="10"/>
      <c r="L69" s="10"/>
      <c r="M69" s="10"/>
      <c r="N69" s="10"/>
      <c r="O69" s="10"/>
      <c r="P69" s="10"/>
      <c r="Q69" s="10"/>
      <c r="R69" s="10"/>
      <c r="S69" s="10"/>
      <c r="T69" s="10"/>
      <c r="U69" s="10"/>
      <c r="V69" s="10"/>
      <c r="W69" s="10"/>
      <c r="X69" s="10"/>
      <c r="Y69" s="10"/>
      <c r="Z69" s="10"/>
      <c r="AA69" s="10"/>
      <c r="AB69" s="10"/>
      <c r="AC69" s="10"/>
      <c r="AD69" s="10"/>
      <c r="AE69" s="10"/>
      <c r="AF69" s="10"/>
      <c r="AG69" s="10"/>
      <c r="AH69" s="10"/>
      <c r="AI69" s="10"/>
      <c r="AJ69" s="10"/>
      <c r="AK69" s="10"/>
      <c r="AL69" s="10"/>
      <c r="AM69" s="10"/>
      <c r="AN69" s="10"/>
      <c r="AO69" s="10"/>
      <c r="AP69" s="10"/>
      <c r="AQ69" s="10"/>
      <c r="AR69" s="10"/>
      <c r="AS69" s="10"/>
      <c r="AT69" s="10"/>
      <c r="AU69" s="10"/>
      <c r="AV69" s="10"/>
      <c r="AW69" s="10"/>
      <c r="AX69" s="10"/>
      <c r="AY69" s="10"/>
      <c r="AZ69" s="10"/>
      <c r="BA69" s="10"/>
      <c r="BB69" s="10"/>
      <c r="BC69" s="10"/>
      <c r="BD69" s="10"/>
      <c r="BE69" s="10"/>
      <c r="BF69" s="10"/>
      <c r="BG69" s="10"/>
      <c r="BH69" s="10"/>
    </row>
    <row r="70" spans="1:60"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c r="Z70" s="10"/>
      <c r="AA70" s="10"/>
      <c r="AB70" s="10"/>
      <c r="AC70" s="10"/>
      <c r="AD70" s="10"/>
      <c r="AE70" s="10"/>
      <c r="AF70" s="10"/>
      <c r="AG70" s="10"/>
      <c r="AH70" s="10"/>
      <c r="AI70" s="10"/>
      <c r="AJ70" s="10"/>
      <c r="AK70" s="10"/>
      <c r="AL70" s="10"/>
      <c r="AM70" s="10"/>
      <c r="AN70" s="10"/>
      <c r="AO70" s="10"/>
      <c r="AP70" s="10"/>
      <c r="AQ70" s="10"/>
      <c r="AR70" s="10"/>
      <c r="AS70" s="10"/>
      <c r="AT70" s="10"/>
      <c r="AU70" s="10"/>
      <c r="AV70" s="10"/>
      <c r="AW70" s="10"/>
      <c r="AX70" s="10"/>
      <c r="AY70" s="10"/>
      <c r="AZ70" s="10"/>
      <c r="BA70" s="10"/>
      <c r="BB70" s="10"/>
      <c r="BC70" s="10"/>
      <c r="BD70" s="10"/>
      <c r="BE70" s="10"/>
      <c r="BF70" s="10"/>
      <c r="BG70" s="10"/>
      <c r="BH70" s="10"/>
    </row>
    <row r="71" spans="1:60" x14ac:dyDescent="0.2">
      <c r="A71" s="10"/>
      <c r="B71" s="10"/>
      <c r="C71" s="10"/>
      <c r="D71" s="10"/>
      <c r="E71" s="10"/>
      <c r="F71" s="10"/>
      <c r="G71" s="10"/>
      <c r="H71" s="10"/>
      <c r="I71" s="10"/>
      <c r="J71" s="10"/>
      <c r="K71" s="10"/>
      <c r="L71" s="10"/>
      <c r="M71" s="10"/>
      <c r="N71" s="10"/>
      <c r="O71" s="10"/>
      <c r="P71" s="10"/>
      <c r="Q71" s="10"/>
      <c r="R71" s="10"/>
      <c r="S71" s="10"/>
      <c r="T71" s="10"/>
      <c r="U71" s="10"/>
      <c r="V71" s="10"/>
      <c r="W71" s="10"/>
      <c r="X71" s="10"/>
      <c r="Y71" s="10"/>
      <c r="Z71" s="10"/>
      <c r="AA71" s="10"/>
      <c r="AB71" s="10"/>
      <c r="AC71" s="10"/>
      <c r="AD71" s="10"/>
      <c r="AE71" s="10"/>
      <c r="AF71" s="10"/>
      <c r="AG71" s="10"/>
      <c r="AH71" s="10"/>
      <c r="AI71" s="10"/>
      <c r="AJ71" s="10"/>
      <c r="AK71" s="10"/>
      <c r="AL71" s="10"/>
      <c r="AM71" s="10"/>
      <c r="AN71" s="10"/>
      <c r="AO71" s="10"/>
      <c r="AP71" s="10"/>
      <c r="AQ71" s="10"/>
      <c r="AR71" s="10"/>
      <c r="AS71" s="10"/>
      <c r="AT71" s="10"/>
      <c r="AU71" s="10"/>
      <c r="AV71" s="10"/>
      <c r="AW71" s="10"/>
      <c r="AX71" s="10"/>
      <c r="AY71" s="10"/>
      <c r="AZ71" s="10"/>
      <c r="BA71" s="10"/>
      <c r="BB71" s="10"/>
      <c r="BC71" s="10"/>
      <c r="BD71" s="10"/>
      <c r="BE71" s="10"/>
      <c r="BF71" s="10"/>
      <c r="BG71" s="10"/>
      <c r="BH71" s="10"/>
    </row>
    <row r="72" spans="1:60" x14ac:dyDescent="0.2">
      <c r="A72" s="10"/>
      <c r="B72" s="10"/>
      <c r="C72" s="10"/>
      <c r="D72" s="10"/>
      <c r="E72" s="10"/>
      <c r="F72" s="10"/>
      <c r="G72" s="10"/>
      <c r="H72" s="10"/>
      <c r="I72" s="10"/>
      <c r="J72" s="10"/>
      <c r="K72" s="10"/>
      <c r="L72" s="10"/>
      <c r="M72" s="10"/>
      <c r="N72" s="10"/>
      <c r="O72" s="10"/>
      <c r="P72" s="10"/>
      <c r="Q72" s="10"/>
      <c r="R72" s="10"/>
      <c r="S72" s="10"/>
      <c r="T72" s="10"/>
      <c r="U72" s="10"/>
      <c r="V72" s="10"/>
      <c r="W72" s="10"/>
      <c r="X72" s="10"/>
      <c r="Y72" s="10"/>
      <c r="Z72" s="10"/>
      <c r="AA72" s="10"/>
      <c r="AB72" s="10"/>
      <c r="AC72" s="10"/>
      <c r="AD72" s="10"/>
      <c r="AE72" s="10"/>
      <c r="AF72" s="10"/>
      <c r="AG72" s="10"/>
      <c r="AH72" s="10"/>
      <c r="AI72" s="10"/>
      <c r="AJ72" s="10"/>
      <c r="AK72" s="10"/>
      <c r="AL72" s="10"/>
      <c r="AM72" s="10"/>
      <c r="AN72" s="10"/>
      <c r="AO72" s="10"/>
      <c r="AP72" s="10"/>
      <c r="AQ72" s="10"/>
      <c r="AR72" s="10"/>
      <c r="AS72" s="10"/>
      <c r="AT72" s="10"/>
      <c r="AU72" s="10"/>
      <c r="AV72" s="10"/>
      <c r="AW72" s="10"/>
      <c r="AX72" s="10"/>
      <c r="AY72" s="10"/>
      <c r="AZ72" s="10"/>
      <c r="BA72" s="10"/>
      <c r="BB72" s="10"/>
      <c r="BC72" s="10"/>
      <c r="BD72" s="10"/>
      <c r="BE72" s="10"/>
      <c r="BF72" s="10"/>
      <c r="BG72" s="10"/>
      <c r="BH72" s="10"/>
    </row>
    <row r="73" spans="1:60" x14ac:dyDescent="0.2">
      <c r="A73" s="10"/>
      <c r="B73" s="10"/>
      <c r="C73" s="10"/>
      <c r="D73" s="10"/>
      <c r="E73" s="10"/>
      <c r="F73" s="10"/>
      <c r="G73" s="10"/>
      <c r="H73" s="10"/>
      <c r="I73" s="10"/>
      <c r="J73" s="10"/>
      <c r="K73" s="10"/>
      <c r="L73" s="10"/>
      <c r="M73" s="10"/>
      <c r="N73" s="10"/>
      <c r="O73" s="10"/>
      <c r="P73" s="10"/>
      <c r="Q73" s="10"/>
      <c r="R73" s="10"/>
      <c r="S73" s="10"/>
      <c r="T73" s="10"/>
      <c r="U73" s="10"/>
      <c r="V73" s="10"/>
      <c r="W73" s="10"/>
      <c r="X73" s="10"/>
      <c r="Y73" s="10"/>
      <c r="Z73" s="10"/>
      <c r="AA73" s="10"/>
      <c r="AB73" s="10"/>
      <c r="AC73" s="10"/>
      <c r="AD73" s="10"/>
      <c r="AE73" s="10"/>
      <c r="AF73" s="10"/>
      <c r="AG73" s="10"/>
      <c r="AH73" s="10"/>
      <c r="AI73" s="10"/>
      <c r="AJ73" s="10"/>
      <c r="AK73" s="10"/>
      <c r="AL73" s="10"/>
      <c r="AM73" s="10"/>
      <c r="AN73" s="10"/>
      <c r="AO73" s="10"/>
      <c r="AP73" s="10"/>
      <c r="AQ73" s="10"/>
      <c r="AR73" s="10"/>
      <c r="AS73" s="10"/>
      <c r="AT73" s="10"/>
      <c r="AU73" s="10"/>
      <c r="AV73" s="10"/>
      <c r="AW73" s="10"/>
      <c r="AX73" s="10"/>
      <c r="AY73" s="10"/>
      <c r="AZ73" s="10"/>
      <c r="BA73" s="10"/>
      <c r="BB73" s="10"/>
      <c r="BC73" s="10"/>
      <c r="BD73" s="10"/>
      <c r="BE73" s="10"/>
      <c r="BF73" s="10"/>
      <c r="BG73" s="10"/>
      <c r="BH73" s="10"/>
    </row>
    <row r="74" spans="1:60" x14ac:dyDescent="0.2">
      <c r="A74" s="10"/>
      <c r="B74" s="10"/>
      <c r="C74" s="10"/>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row>
    <row r="75" spans="1:60" x14ac:dyDescent="0.2">
      <c r="A75" s="10"/>
      <c r="B75" s="10"/>
      <c r="C75" s="10"/>
      <c r="D75" s="10"/>
      <c r="E75" s="10"/>
      <c r="F75" s="10"/>
      <c r="G75" s="10"/>
      <c r="H75" s="10"/>
      <c r="I75" s="10"/>
      <c r="J75" s="10"/>
      <c r="K75" s="10"/>
      <c r="L75" s="10"/>
      <c r="M75" s="10"/>
      <c r="N75" s="10"/>
      <c r="O75" s="10"/>
      <c r="P75" s="10"/>
      <c r="Q75" s="10"/>
      <c r="R75" s="10"/>
      <c r="S75" s="10"/>
      <c r="T75" s="10"/>
      <c r="U75" s="10"/>
      <c r="V75" s="10"/>
      <c r="W75" s="10"/>
      <c r="X75" s="10"/>
      <c r="Y75" s="10"/>
      <c r="Z75" s="10"/>
      <c r="AA75" s="10"/>
      <c r="AB75" s="10"/>
      <c r="AC75" s="10"/>
      <c r="AD75" s="10"/>
      <c r="AE75" s="10"/>
      <c r="AF75" s="10"/>
      <c r="AG75" s="10"/>
      <c r="AH75" s="10"/>
      <c r="AI75" s="10"/>
      <c r="AJ75" s="10"/>
      <c r="AK75" s="10"/>
      <c r="AL75" s="10"/>
      <c r="AM75" s="10"/>
      <c r="AN75" s="10"/>
      <c r="AO75" s="10"/>
      <c r="AP75" s="10"/>
      <c r="AQ75" s="10"/>
      <c r="AR75" s="10"/>
      <c r="AS75" s="10"/>
      <c r="AT75" s="10"/>
      <c r="AU75" s="10"/>
      <c r="AV75" s="10"/>
      <c r="AW75" s="10"/>
      <c r="AX75" s="10"/>
      <c r="AY75" s="10"/>
      <c r="AZ75" s="10"/>
      <c r="BA75" s="10"/>
      <c r="BB75" s="10"/>
      <c r="BC75" s="10"/>
      <c r="BD75" s="10"/>
      <c r="BE75" s="10"/>
      <c r="BF75" s="10"/>
      <c r="BG75" s="10"/>
      <c r="BH75" s="10"/>
    </row>
    <row r="76" spans="1:60"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c r="Z76" s="10"/>
      <c r="AA76" s="10"/>
      <c r="AB76" s="10"/>
      <c r="AC76" s="10"/>
      <c r="AD76" s="10"/>
      <c r="AE76" s="10"/>
      <c r="AF76" s="10"/>
      <c r="AG76" s="10"/>
      <c r="AH76" s="10"/>
      <c r="AI76" s="10"/>
      <c r="AJ76" s="10"/>
      <c r="AK76" s="10"/>
      <c r="AL76" s="10"/>
      <c r="AM76" s="10"/>
      <c r="AN76" s="10"/>
      <c r="AO76" s="10"/>
      <c r="AP76" s="10"/>
      <c r="AQ76" s="10"/>
      <c r="AR76" s="10"/>
      <c r="AS76" s="10"/>
      <c r="AT76" s="10"/>
      <c r="AU76" s="10"/>
      <c r="AV76" s="10"/>
      <c r="AW76" s="10"/>
      <c r="AX76" s="10"/>
      <c r="AY76" s="10"/>
      <c r="AZ76" s="10"/>
      <c r="BA76" s="10"/>
      <c r="BB76" s="10"/>
      <c r="BC76" s="10"/>
      <c r="BD76" s="10"/>
      <c r="BE76" s="10"/>
      <c r="BF76" s="10"/>
      <c r="BG76" s="10"/>
      <c r="BH76" s="10"/>
    </row>
    <row r="77" spans="1:60" x14ac:dyDescent="0.2">
      <c r="A77" s="10"/>
      <c r="B77" s="10"/>
      <c r="C77" s="10"/>
      <c r="D77" s="10"/>
      <c r="E77" s="10"/>
      <c r="F77" s="10"/>
      <c r="G77" s="10"/>
      <c r="H77" s="10"/>
      <c r="I77" s="10"/>
      <c r="J77" s="10"/>
      <c r="K77" s="10"/>
      <c r="L77" s="10"/>
      <c r="M77" s="10"/>
      <c r="N77" s="10"/>
      <c r="O77" s="10"/>
      <c r="P77" s="10"/>
      <c r="Q77" s="10"/>
      <c r="R77" s="10"/>
      <c r="S77" s="10"/>
      <c r="T77" s="10"/>
      <c r="U77" s="10"/>
      <c r="V77" s="10"/>
      <c r="W77" s="10"/>
      <c r="X77" s="10"/>
      <c r="Y77" s="10"/>
      <c r="Z77" s="10"/>
      <c r="AA77" s="10"/>
      <c r="AB77" s="10"/>
      <c r="AC77" s="10"/>
      <c r="AD77" s="10"/>
      <c r="AE77" s="10"/>
      <c r="AF77" s="10"/>
      <c r="AG77" s="10"/>
      <c r="AH77" s="10"/>
      <c r="AI77" s="10"/>
      <c r="AJ77" s="10"/>
      <c r="AK77" s="10"/>
      <c r="AL77" s="10"/>
      <c r="AM77" s="10"/>
      <c r="AN77" s="10"/>
      <c r="AO77" s="10"/>
      <c r="AP77" s="10"/>
      <c r="AQ77" s="10"/>
      <c r="AR77" s="10"/>
      <c r="AS77" s="10"/>
      <c r="AT77" s="10"/>
      <c r="AU77" s="10"/>
      <c r="AV77" s="10"/>
      <c r="AW77" s="10"/>
      <c r="AX77" s="10"/>
      <c r="AY77" s="10"/>
      <c r="AZ77" s="10"/>
      <c r="BA77" s="10"/>
      <c r="BB77" s="10"/>
      <c r="BC77" s="10"/>
      <c r="BD77" s="10"/>
      <c r="BE77" s="10"/>
      <c r="BF77" s="10"/>
      <c r="BG77" s="10"/>
      <c r="BH77" s="10"/>
    </row>
    <row r="78" spans="1:60" x14ac:dyDescent="0.2">
      <c r="A78" s="10"/>
      <c r="B78" s="10"/>
      <c r="C78" s="10"/>
      <c r="D78" s="10"/>
      <c r="E78" s="10"/>
      <c r="F78" s="10"/>
      <c r="G78" s="10"/>
      <c r="H78" s="10"/>
      <c r="I78" s="10"/>
      <c r="J78" s="10"/>
      <c r="K78" s="10"/>
      <c r="L78" s="10"/>
      <c r="M78" s="10"/>
      <c r="N78" s="10"/>
      <c r="O78" s="10"/>
      <c r="P78" s="10"/>
      <c r="Q78" s="10"/>
      <c r="R78" s="10"/>
      <c r="S78" s="10"/>
      <c r="T78" s="10"/>
      <c r="U78" s="10"/>
      <c r="V78" s="10"/>
      <c r="W78" s="10"/>
      <c r="X78" s="10"/>
      <c r="Y78" s="10"/>
      <c r="Z78" s="10"/>
      <c r="AA78" s="10"/>
      <c r="AB78" s="10"/>
      <c r="AC78" s="10"/>
      <c r="AD78" s="10"/>
      <c r="AE78" s="10"/>
      <c r="AF78" s="10"/>
      <c r="AG78" s="10"/>
      <c r="AH78" s="10"/>
      <c r="AI78" s="10"/>
      <c r="AJ78" s="10"/>
      <c r="AK78" s="10"/>
      <c r="AL78" s="10"/>
      <c r="AM78" s="10"/>
      <c r="AN78" s="10"/>
      <c r="AO78" s="10"/>
      <c r="AP78" s="10"/>
      <c r="AQ78" s="10"/>
      <c r="AR78" s="10"/>
      <c r="AS78" s="10"/>
      <c r="AT78" s="10"/>
      <c r="AU78" s="10"/>
      <c r="AV78" s="10"/>
      <c r="AW78" s="10"/>
      <c r="AX78" s="10"/>
      <c r="AY78" s="10"/>
      <c r="AZ78" s="10"/>
      <c r="BA78" s="10"/>
      <c r="BB78" s="10"/>
      <c r="BC78" s="10"/>
      <c r="BD78" s="10"/>
      <c r="BE78" s="10"/>
      <c r="BF78" s="10"/>
      <c r="BG78" s="10"/>
      <c r="BH78" s="10"/>
    </row>
    <row r="79" spans="1:60" x14ac:dyDescent="0.2">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c r="AI79" s="10"/>
      <c r="AJ79" s="10"/>
      <c r="AK79" s="10"/>
      <c r="AL79" s="10"/>
      <c r="AM79" s="10"/>
      <c r="AN79" s="10"/>
      <c r="AO79" s="10"/>
      <c r="AP79" s="10"/>
      <c r="AQ79" s="10"/>
      <c r="AR79" s="10"/>
      <c r="AS79" s="10"/>
      <c r="AT79" s="10"/>
      <c r="AU79" s="10"/>
      <c r="AV79" s="10"/>
      <c r="AW79" s="10"/>
      <c r="AX79" s="10"/>
      <c r="AY79" s="10"/>
      <c r="AZ79" s="10"/>
      <c r="BA79" s="10"/>
      <c r="BB79" s="10"/>
      <c r="BC79" s="10"/>
      <c r="BD79" s="10"/>
      <c r="BE79" s="10"/>
      <c r="BF79" s="10"/>
      <c r="BG79" s="10"/>
      <c r="BH79" s="10"/>
    </row>
    <row r="80" spans="1:60" x14ac:dyDescent="0.2">
      <c r="A80" s="10"/>
      <c r="B80" s="10"/>
      <c r="C80" s="10"/>
      <c r="D80" s="10"/>
      <c r="E80" s="10"/>
      <c r="F80" s="10"/>
      <c r="G80" s="10"/>
      <c r="H80" s="10"/>
      <c r="I80" s="10"/>
      <c r="J80" s="10"/>
      <c r="K80" s="10"/>
      <c r="L80" s="10"/>
      <c r="M80" s="10"/>
      <c r="N80" s="10"/>
      <c r="O80" s="10"/>
      <c r="P80" s="10"/>
      <c r="Q80" s="10"/>
      <c r="R80" s="10"/>
      <c r="S80" s="10"/>
      <c r="T80" s="10"/>
      <c r="U80" s="10"/>
      <c r="V80" s="10"/>
      <c r="W80" s="10"/>
      <c r="X80" s="10"/>
      <c r="Y80" s="10"/>
      <c r="Z80" s="10"/>
      <c r="AA80" s="10"/>
      <c r="AB80" s="10"/>
      <c r="AC80" s="10"/>
      <c r="AD80" s="10"/>
      <c r="AE80" s="10"/>
      <c r="AF80" s="10"/>
      <c r="AG80" s="10"/>
      <c r="AH80" s="10"/>
      <c r="AI80" s="10"/>
      <c r="AJ80" s="10"/>
      <c r="AK80" s="10"/>
      <c r="AL80" s="10"/>
      <c r="AM80" s="10"/>
      <c r="AN80" s="10"/>
      <c r="AO80" s="10"/>
      <c r="AP80" s="10"/>
      <c r="AQ80" s="10"/>
      <c r="AR80" s="10"/>
      <c r="AS80" s="10"/>
      <c r="AT80" s="10"/>
      <c r="AU80" s="10"/>
      <c r="AV80" s="10"/>
      <c r="AW80" s="10"/>
      <c r="AX80" s="10"/>
      <c r="AY80" s="10"/>
      <c r="AZ80" s="10"/>
      <c r="BA80" s="10"/>
      <c r="BB80" s="10"/>
      <c r="BC80" s="10"/>
      <c r="BD80" s="10"/>
      <c r="BE80" s="10"/>
      <c r="BF80" s="10"/>
      <c r="BG80" s="10"/>
      <c r="BH80" s="10"/>
    </row>
    <row r="81" spans="1:60" x14ac:dyDescent="0.2">
      <c r="A81" s="10"/>
      <c r="B81" s="10"/>
      <c r="C81" s="10"/>
      <c r="D81" s="10"/>
      <c r="E81" s="10"/>
      <c r="F81" s="10"/>
      <c r="G81" s="10"/>
      <c r="H81" s="10"/>
      <c r="I81" s="10"/>
      <c r="J81" s="10"/>
      <c r="K81" s="10"/>
      <c r="L81" s="10"/>
      <c r="M81" s="10"/>
      <c r="N81" s="10"/>
      <c r="O81" s="10"/>
      <c r="P81" s="10"/>
      <c r="Q81" s="10"/>
      <c r="R81" s="10"/>
      <c r="S81" s="10"/>
      <c r="T81" s="10"/>
      <c r="U81" s="10"/>
      <c r="V81" s="10"/>
      <c r="W81" s="10"/>
      <c r="X81" s="10"/>
      <c r="Y81" s="10"/>
      <c r="Z81" s="10"/>
      <c r="AA81" s="10"/>
      <c r="AB81" s="10"/>
      <c r="AC81" s="10"/>
      <c r="AD81" s="10"/>
      <c r="AE81" s="10"/>
      <c r="AF81" s="10"/>
      <c r="AG81" s="10"/>
      <c r="AH81" s="10"/>
      <c r="AI81" s="10"/>
      <c r="AJ81" s="10"/>
      <c r="AK81" s="10"/>
      <c r="AL81" s="10"/>
      <c r="AM81" s="10"/>
      <c r="AN81" s="10"/>
      <c r="AO81" s="10"/>
      <c r="AP81" s="10"/>
      <c r="AQ81" s="10"/>
      <c r="AR81" s="10"/>
      <c r="AS81" s="10"/>
      <c r="AT81" s="10"/>
      <c r="AU81" s="10"/>
      <c r="AV81" s="10"/>
      <c r="AW81" s="10"/>
      <c r="AX81" s="10"/>
      <c r="AY81" s="10"/>
      <c r="AZ81" s="10"/>
      <c r="BA81" s="10"/>
      <c r="BB81" s="10"/>
      <c r="BC81" s="10"/>
      <c r="BD81" s="10"/>
      <c r="BE81" s="10"/>
      <c r="BF81" s="10"/>
      <c r="BG81" s="10"/>
      <c r="BH81" s="10"/>
    </row>
    <row r="82" spans="1:60" x14ac:dyDescent="0.2">
      <c r="A82" s="10"/>
      <c r="B82" s="10"/>
      <c r="C82" s="10"/>
      <c r="D82" s="10"/>
      <c r="E82" s="10"/>
      <c r="F82" s="10"/>
      <c r="G82" s="10"/>
      <c r="H82" s="10"/>
      <c r="I82" s="10"/>
      <c r="J82" s="10"/>
      <c r="K82" s="10"/>
      <c r="L82" s="10"/>
      <c r="M82" s="10"/>
      <c r="N82" s="10"/>
      <c r="O82" s="10"/>
      <c r="P82" s="10"/>
      <c r="Q82" s="10"/>
      <c r="R82" s="10"/>
      <c r="S82" s="10"/>
      <c r="T82" s="10"/>
      <c r="U82" s="10"/>
      <c r="V82" s="10"/>
      <c r="W82" s="10"/>
      <c r="X82" s="10"/>
      <c r="Y82" s="10"/>
      <c r="Z82" s="10"/>
      <c r="AA82" s="10"/>
      <c r="AB82" s="10"/>
      <c r="AC82" s="10"/>
      <c r="AD82" s="10"/>
      <c r="AE82" s="10"/>
      <c r="AF82" s="10"/>
      <c r="AG82" s="10"/>
      <c r="AH82" s="10"/>
      <c r="AI82" s="10"/>
      <c r="AJ82" s="10"/>
      <c r="AK82" s="10"/>
      <c r="AL82" s="10"/>
      <c r="AM82" s="10"/>
      <c r="AN82" s="10"/>
      <c r="AO82" s="10"/>
      <c r="AP82" s="10"/>
      <c r="AQ82" s="10"/>
      <c r="AR82" s="10"/>
      <c r="AS82" s="10"/>
      <c r="AT82" s="10"/>
      <c r="AU82" s="10"/>
      <c r="AV82" s="10"/>
      <c r="AW82" s="10"/>
      <c r="AX82" s="10"/>
      <c r="AY82" s="10"/>
      <c r="AZ82" s="10"/>
      <c r="BA82" s="10"/>
      <c r="BB82" s="10"/>
      <c r="BC82" s="10"/>
      <c r="BD82" s="10"/>
      <c r="BE82" s="10"/>
      <c r="BF82" s="10"/>
      <c r="BG82" s="10"/>
      <c r="BH82" s="10"/>
    </row>
    <row r="83" spans="1:60"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c r="Z83" s="10"/>
      <c r="AA83" s="10"/>
      <c r="AB83" s="10"/>
      <c r="AC83" s="10"/>
      <c r="AD83" s="10"/>
      <c r="AE83" s="10"/>
      <c r="AF83" s="10"/>
      <c r="AG83" s="10"/>
      <c r="AH83" s="10"/>
      <c r="AI83" s="10"/>
      <c r="AJ83" s="10"/>
      <c r="AK83" s="10"/>
      <c r="AL83" s="10"/>
      <c r="AM83" s="10"/>
      <c r="AN83" s="10"/>
      <c r="AO83" s="10"/>
      <c r="AP83" s="10"/>
      <c r="AQ83" s="10"/>
      <c r="AR83" s="10"/>
      <c r="AS83" s="10"/>
      <c r="AT83" s="10"/>
      <c r="AU83" s="10"/>
      <c r="AV83" s="10"/>
      <c r="AW83" s="10"/>
      <c r="AX83" s="10"/>
      <c r="AY83" s="10"/>
      <c r="AZ83" s="10"/>
      <c r="BA83" s="10"/>
      <c r="BB83" s="10"/>
      <c r="BC83" s="10"/>
      <c r="BD83" s="10"/>
      <c r="BE83" s="10"/>
      <c r="BF83" s="10"/>
      <c r="BG83" s="10"/>
      <c r="BH83" s="10"/>
    </row>
    <row r="84" spans="1:60" x14ac:dyDescent="0.2">
      <c r="A84" s="10"/>
      <c r="B84" s="10"/>
      <c r="C84" s="10"/>
      <c r="D84" s="10"/>
      <c r="E84" s="10"/>
      <c r="F84" s="10"/>
      <c r="G84" s="10"/>
      <c r="H84" s="10"/>
      <c r="I84" s="10"/>
      <c r="J84" s="10"/>
      <c r="K84" s="10"/>
      <c r="L84" s="10"/>
      <c r="M84" s="10"/>
      <c r="N84" s="10"/>
      <c r="O84" s="10"/>
      <c r="P84" s="10"/>
      <c r="Q84" s="10"/>
      <c r="R84" s="10"/>
      <c r="S84" s="10"/>
      <c r="T84" s="10"/>
      <c r="U84" s="10"/>
      <c r="V84" s="10"/>
      <c r="W84" s="10"/>
      <c r="X84" s="10"/>
      <c r="Y84" s="10"/>
      <c r="Z84" s="10"/>
      <c r="AA84" s="10"/>
      <c r="AB84" s="10"/>
      <c r="AC84" s="10"/>
      <c r="AD84" s="10"/>
      <c r="AE84" s="10"/>
      <c r="AF84" s="10"/>
      <c r="AG84" s="10"/>
      <c r="AH84" s="10"/>
      <c r="AI84" s="10"/>
      <c r="AJ84" s="10"/>
      <c r="AK84" s="10"/>
      <c r="AL84" s="10"/>
      <c r="AM84" s="10"/>
      <c r="AN84" s="10"/>
      <c r="AO84" s="10"/>
      <c r="AP84" s="10"/>
      <c r="AQ84" s="10"/>
      <c r="AR84" s="10"/>
      <c r="AS84" s="10"/>
      <c r="AT84" s="10"/>
      <c r="AU84" s="10"/>
      <c r="AV84" s="10"/>
      <c r="AW84" s="10"/>
      <c r="AX84" s="10"/>
      <c r="AY84" s="10"/>
      <c r="AZ84" s="10"/>
      <c r="BA84" s="10"/>
      <c r="BB84" s="10"/>
      <c r="BC84" s="10"/>
      <c r="BD84" s="10"/>
      <c r="BE84" s="10"/>
      <c r="BF84" s="10"/>
      <c r="BG84" s="10"/>
      <c r="BH84" s="10"/>
    </row>
    <row r="85" spans="1:60" x14ac:dyDescent="0.2">
      <c r="A85" s="10"/>
      <c r="B85" s="10"/>
      <c r="C85" s="10"/>
      <c r="D85" s="10"/>
      <c r="E85" s="10"/>
      <c r="F85" s="10"/>
      <c r="G85" s="10"/>
      <c r="H85" s="10"/>
      <c r="I85" s="10"/>
      <c r="J85" s="10"/>
      <c r="K85" s="10"/>
      <c r="L85" s="10"/>
      <c r="M85" s="10"/>
      <c r="N85" s="10"/>
      <c r="O85" s="10"/>
      <c r="P85" s="10"/>
      <c r="Q85" s="10"/>
      <c r="R85" s="10"/>
      <c r="S85" s="10"/>
      <c r="T85" s="10"/>
      <c r="U85" s="10"/>
      <c r="V85" s="10"/>
      <c r="W85" s="10"/>
      <c r="X85" s="10"/>
      <c r="Y85" s="10"/>
      <c r="Z85" s="10"/>
      <c r="AA85" s="10"/>
      <c r="AB85" s="10"/>
      <c r="AC85" s="10"/>
      <c r="AD85" s="10"/>
      <c r="AE85" s="10"/>
      <c r="AF85" s="10"/>
      <c r="AG85" s="10"/>
      <c r="AH85" s="10"/>
      <c r="AI85" s="10"/>
      <c r="AJ85" s="10"/>
      <c r="AK85" s="10"/>
      <c r="AL85" s="10"/>
      <c r="AM85" s="10"/>
      <c r="AN85" s="10"/>
      <c r="AO85" s="10"/>
      <c r="AP85" s="10"/>
      <c r="AQ85" s="10"/>
      <c r="AR85" s="10"/>
      <c r="AS85" s="10"/>
      <c r="AT85" s="10"/>
      <c r="AU85" s="10"/>
      <c r="AV85" s="10"/>
      <c r="AW85" s="10"/>
      <c r="AX85" s="10"/>
      <c r="AY85" s="10"/>
      <c r="AZ85" s="10"/>
      <c r="BA85" s="10"/>
      <c r="BB85" s="10"/>
      <c r="BC85" s="10"/>
      <c r="BD85" s="10"/>
      <c r="BE85" s="10"/>
      <c r="BF85" s="10"/>
      <c r="BG85" s="10"/>
      <c r="BH85" s="10"/>
    </row>
    <row r="86" spans="1:60" x14ac:dyDescent="0.2">
      <c r="A86" s="10"/>
      <c r="B86" s="10"/>
      <c r="C86" s="10"/>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row>
    <row r="87" spans="1:60" x14ac:dyDescent="0.2">
      <c r="A87" s="10"/>
      <c r="B87" s="10"/>
      <c r="C87" s="10"/>
      <c r="D87" s="10"/>
      <c r="E87" s="10"/>
      <c r="F87" s="10"/>
      <c r="G87" s="10"/>
      <c r="H87" s="10"/>
      <c r="I87" s="10"/>
      <c r="J87" s="10"/>
      <c r="K87" s="10"/>
      <c r="L87" s="10"/>
      <c r="M87" s="10"/>
      <c r="N87" s="10"/>
      <c r="O87" s="10"/>
      <c r="P87" s="10"/>
      <c r="Q87" s="10"/>
      <c r="R87" s="10"/>
      <c r="S87" s="10"/>
      <c r="T87" s="10"/>
      <c r="U87" s="10"/>
      <c r="V87" s="10"/>
      <c r="W87" s="10"/>
      <c r="X87" s="10"/>
      <c r="Y87" s="10"/>
      <c r="Z87" s="10"/>
      <c r="AA87" s="10"/>
      <c r="AB87" s="10"/>
      <c r="AC87" s="10"/>
      <c r="AD87" s="10"/>
      <c r="AE87" s="10"/>
      <c r="AF87" s="10"/>
      <c r="AG87" s="10"/>
      <c r="AH87" s="10"/>
      <c r="AI87" s="10"/>
      <c r="AJ87" s="10"/>
      <c r="AK87" s="10"/>
      <c r="AL87" s="10"/>
      <c r="AM87" s="10"/>
      <c r="AN87" s="10"/>
      <c r="AO87" s="10"/>
      <c r="AP87" s="10"/>
      <c r="AQ87" s="10"/>
      <c r="AR87" s="10"/>
      <c r="AS87" s="10"/>
      <c r="AT87" s="10"/>
      <c r="AU87" s="10"/>
      <c r="AV87" s="10"/>
      <c r="AW87" s="10"/>
      <c r="AX87" s="10"/>
      <c r="AY87" s="10"/>
      <c r="AZ87" s="10"/>
      <c r="BA87" s="10"/>
      <c r="BB87" s="10"/>
      <c r="BC87" s="10"/>
      <c r="BD87" s="10"/>
      <c r="BE87" s="10"/>
      <c r="BF87" s="10"/>
      <c r="BG87" s="10"/>
      <c r="BH87" s="10"/>
    </row>
    <row r="88" spans="1:60" x14ac:dyDescent="0.2">
      <c r="A88" s="10"/>
      <c r="B88" s="10"/>
      <c r="C88" s="10"/>
      <c r="D88" s="10"/>
      <c r="E88" s="10"/>
      <c r="F88" s="10"/>
      <c r="G88" s="10"/>
      <c r="H88" s="10"/>
      <c r="I88" s="10"/>
      <c r="J88" s="10"/>
      <c r="K88" s="10"/>
      <c r="L88" s="10"/>
      <c r="M88" s="10"/>
      <c r="N88" s="10"/>
      <c r="O88" s="10"/>
      <c r="P88" s="10"/>
      <c r="Q88" s="10"/>
      <c r="R88" s="10"/>
      <c r="S88" s="10"/>
      <c r="T88" s="10"/>
      <c r="U88" s="10"/>
      <c r="V88" s="10"/>
      <c r="W88" s="10"/>
      <c r="X88" s="10"/>
      <c r="Y88" s="10"/>
      <c r="Z88" s="10"/>
      <c r="AA88" s="10"/>
      <c r="AB88" s="10"/>
      <c r="AC88" s="10"/>
      <c r="AD88" s="10"/>
      <c r="AE88" s="10"/>
      <c r="AF88" s="10"/>
      <c r="AG88" s="10"/>
      <c r="AH88" s="10"/>
      <c r="AI88" s="10"/>
      <c r="AJ88" s="10"/>
      <c r="AK88" s="10"/>
      <c r="AL88" s="10"/>
      <c r="AM88" s="10"/>
      <c r="AN88" s="10"/>
      <c r="AO88" s="10"/>
      <c r="AP88" s="10"/>
      <c r="AQ88" s="10"/>
      <c r="AR88" s="10"/>
      <c r="AS88" s="10"/>
      <c r="AT88" s="10"/>
      <c r="AU88" s="10"/>
      <c r="AV88" s="10"/>
      <c r="AW88" s="10"/>
      <c r="AX88" s="10"/>
      <c r="AY88" s="10"/>
      <c r="AZ88" s="10"/>
      <c r="BA88" s="10"/>
      <c r="BB88" s="10"/>
      <c r="BC88" s="10"/>
      <c r="BD88" s="10"/>
      <c r="BE88" s="10"/>
      <c r="BF88" s="10"/>
      <c r="BG88" s="10"/>
      <c r="BH88" s="10"/>
    </row>
    <row r="89" spans="1:60"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c r="Z89" s="10"/>
      <c r="AA89" s="10"/>
      <c r="AB89" s="10"/>
      <c r="AC89" s="10"/>
      <c r="AD89" s="10"/>
      <c r="AE89" s="10"/>
      <c r="AF89" s="10"/>
      <c r="AG89" s="10"/>
      <c r="AH89" s="10"/>
      <c r="AI89" s="10"/>
      <c r="AJ89" s="10"/>
      <c r="AK89" s="10"/>
      <c r="AL89" s="10"/>
      <c r="AM89" s="10"/>
      <c r="AN89" s="10"/>
      <c r="AO89" s="10"/>
      <c r="AP89" s="10"/>
      <c r="AQ89" s="10"/>
      <c r="AR89" s="10"/>
      <c r="AS89" s="10"/>
      <c r="AT89" s="10"/>
      <c r="AU89" s="10"/>
      <c r="AV89" s="10"/>
      <c r="AW89" s="10"/>
      <c r="AX89" s="10"/>
      <c r="AY89" s="10"/>
      <c r="AZ89" s="10"/>
      <c r="BA89" s="10"/>
      <c r="BB89" s="10"/>
      <c r="BC89" s="10"/>
      <c r="BD89" s="10"/>
      <c r="BE89" s="10"/>
      <c r="BF89" s="10"/>
      <c r="BG89" s="10"/>
      <c r="BH89" s="10"/>
    </row>
    <row r="90" spans="1:60" x14ac:dyDescent="0.2">
      <c r="A90" s="10"/>
      <c r="B90" s="10"/>
      <c r="C90" s="10"/>
      <c r="D90" s="10"/>
      <c r="E90" s="10"/>
      <c r="F90" s="10"/>
      <c r="G90" s="10"/>
      <c r="H90" s="10"/>
      <c r="I90" s="10"/>
      <c r="J90" s="10"/>
      <c r="K90" s="10"/>
      <c r="L90" s="10"/>
      <c r="M90" s="10"/>
      <c r="N90" s="10"/>
      <c r="O90" s="10"/>
      <c r="P90" s="10"/>
      <c r="Q90" s="10"/>
      <c r="R90" s="10"/>
      <c r="S90" s="10"/>
      <c r="T90" s="10"/>
      <c r="U90" s="10"/>
      <c r="V90" s="10"/>
      <c r="W90" s="10"/>
      <c r="X90" s="10"/>
      <c r="Y90" s="10"/>
      <c r="Z90" s="10"/>
      <c r="AA90" s="10"/>
      <c r="AB90" s="10"/>
      <c r="AC90" s="10"/>
      <c r="AD90" s="10"/>
      <c r="AE90" s="10"/>
      <c r="AF90" s="10"/>
      <c r="AG90" s="10"/>
      <c r="AH90" s="10"/>
      <c r="AI90" s="10"/>
      <c r="AJ90" s="10"/>
      <c r="AK90" s="10"/>
      <c r="AL90" s="10"/>
      <c r="AM90" s="10"/>
      <c r="AN90" s="10"/>
      <c r="AO90" s="10"/>
      <c r="AP90" s="10"/>
      <c r="AQ90" s="10"/>
      <c r="AR90" s="10"/>
      <c r="AS90" s="10"/>
      <c r="AT90" s="10"/>
      <c r="AU90" s="10"/>
      <c r="AV90" s="10"/>
      <c r="AW90" s="10"/>
      <c r="AX90" s="10"/>
      <c r="AY90" s="10"/>
      <c r="AZ90" s="10"/>
      <c r="BA90" s="10"/>
      <c r="BB90" s="10"/>
      <c r="BC90" s="10"/>
      <c r="BD90" s="10"/>
      <c r="BE90" s="10"/>
      <c r="BF90" s="10"/>
      <c r="BG90" s="10"/>
      <c r="BH90" s="10"/>
    </row>
    <row r="91" spans="1:60" x14ac:dyDescent="0.2">
      <c r="A91" s="10"/>
      <c r="B91" s="10"/>
      <c r="C91" s="10"/>
      <c r="D91" s="10"/>
      <c r="E91" s="10"/>
      <c r="F91" s="10"/>
      <c r="G91" s="10"/>
      <c r="H91" s="10"/>
      <c r="I91" s="10"/>
      <c r="J91" s="10"/>
      <c r="K91" s="10"/>
      <c r="L91" s="10"/>
      <c r="M91" s="10"/>
      <c r="N91" s="10"/>
      <c r="O91" s="10"/>
      <c r="P91" s="10"/>
      <c r="Q91" s="10"/>
      <c r="R91" s="10"/>
      <c r="S91" s="10"/>
      <c r="T91" s="10"/>
      <c r="U91" s="10"/>
      <c r="V91" s="10"/>
      <c r="W91" s="10"/>
      <c r="X91" s="10"/>
      <c r="Y91" s="10"/>
      <c r="Z91" s="10"/>
      <c r="AA91" s="10"/>
      <c r="AB91" s="10"/>
      <c r="AC91" s="10"/>
      <c r="AD91" s="10"/>
      <c r="AE91" s="10"/>
      <c r="AF91" s="10"/>
      <c r="AG91" s="10"/>
      <c r="AH91" s="10"/>
      <c r="AI91" s="10"/>
      <c r="AJ91" s="10"/>
      <c r="AK91" s="10"/>
      <c r="AL91" s="10"/>
      <c r="AM91" s="10"/>
      <c r="AN91" s="10"/>
      <c r="AO91" s="10"/>
      <c r="AP91" s="10"/>
      <c r="AQ91" s="10"/>
      <c r="AR91" s="10"/>
      <c r="AS91" s="10"/>
      <c r="AT91" s="10"/>
      <c r="AU91" s="10"/>
      <c r="AV91" s="10"/>
      <c r="AW91" s="10"/>
      <c r="AX91" s="10"/>
      <c r="AY91" s="10"/>
      <c r="AZ91" s="10"/>
      <c r="BA91" s="10"/>
      <c r="BB91" s="10"/>
      <c r="BC91" s="10"/>
      <c r="BD91" s="10"/>
      <c r="BE91" s="10"/>
      <c r="BF91" s="10"/>
      <c r="BG91" s="10"/>
      <c r="BH91" s="10"/>
    </row>
    <row r="92" spans="1:60" x14ac:dyDescent="0.2">
      <c r="A92" s="10"/>
      <c r="B92" s="10"/>
      <c r="C92" s="10"/>
      <c r="D92" s="10"/>
      <c r="E92" s="10"/>
      <c r="F92" s="10"/>
      <c r="G92" s="10"/>
      <c r="H92" s="10"/>
      <c r="I92" s="10"/>
      <c r="J92" s="10"/>
      <c r="K92" s="10"/>
      <c r="L92" s="10"/>
      <c r="M92" s="10"/>
      <c r="N92" s="10"/>
      <c r="O92" s="10"/>
      <c r="P92" s="10"/>
      <c r="Q92" s="10"/>
      <c r="R92" s="10"/>
      <c r="S92" s="10"/>
      <c r="T92" s="10"/>
      <c r="U92" s="10"/>
      <c r="V92" s="10"/>
      <c r="W92" s="10"/>
      <c r="X92" s="10"/>
      <c r="Y92" s="10"/>
      <c r="Z92" s="10"/>
      <c r="AA92" s="10"/>
      <c r="AB92" s="10"/>
      <c r="AC92" s="10"/>
      <c r="AD92" s="10"/>
      <c r="AE92" s="10"/>
      <c r="AF92" s="10"/>
      <c r="AG92" s="10"/>
      <c r="AH92" s="10"/>
      <c r="AI92" s="10"/>
      <c r="AJ92" s="10"/>
      <c r="AK92" s="10"/>
      <c r="AL92" s="10"/>
      <c r="AM92" s="10"/>
      <c r="AN92" s="10"/>
      <c r="AO92" s="10"/>
      <c r="AP92" s="10"/>
      <c r="AQ92" s="10"/>
      <c r="AR92" s="10"/>
      <c r="AS92" s="10"/>
      <c r="AT92" s="10"/>
      <c r="AU92" s="10"/>
      <c r="AV92" s="10"/>
      <c r="AW92" s="10"/>
      <c r="AX92" s="10"/>
      <c r="AY92" s="10"/>
      <c r="AZ92" s="10"/>
      <c r="BA92" s="10"/>
      <c r="BB92" s="10"/>
      <c r="BC92" s="10"/>
      <c r="BD92" s="10"/>
      <c r="BE92" s="10"/>
      <c r="BF92" s="10"/>
      <c r="BG92" s="10"/>
      <c r="BH92" s="10"/>
    </row>
    <row r="93" spans="1:60" x14ac:dyDescent="0.2">
      <c r="A93" s="10"/>
      <c r="B93" s="10"/>
      <c r="C93" s="10"/>
      <c r="D93" s="10"/>
      <c r="E93" s="10"/>
      <c r="F93" s="10"/>
      <c r="G93" s="10"/>
      <c r="H93" s="10"/>
      <c r="I93" s="10"/>
      <c r="J93" s="10"/>
      <c r="K93" s="10"/>
      <c r="L93" s="10"/>
      <c r="M93" s="10"/>
      <c r="N93" s="10"/>
      <c r="O93" s="10"/>
      <c r="P93" s="10"/>
      <c r="Q93" s="10"/>
      <c r="R93" s="10"/>
      <c r="S93" s="10"/>
      <c r="T93" s="10"/>
      <c r="U93" s="10"/>
      <c r="V93" s="10"/>
      <c r="W93" s="10"/>
      <c r="X93" s="10"/>
      <c r="Y93" s="10"/>
      <c r="Z93" s="10"/>
      <c r="AA93" s="10"/>
      <c r="AB93" s="10"/>
      <c r="AC93" s="10"/>
      <c r="AD93" s="10"/>
      <c r="AE93" s="10"/>
      <c r="AF93" s="10"/>
      <c r="AG93" s="10"/>
      <c r="AH93" s="10"/>
      <c r="AI93" s="10"/>
      <c r="AJ93" s="10"/>
      <c r="AK93" s="10"/>
      <c r="AL93" s="10"/>
      <c r="AM93" s="10"/>
      <c r="AN93" s="10"/>
      <c r="AO93" s="10"/>
      <c r="AP93" s="10"/>
      <c r="AQ93" s="10"/>
      <c r="AR93" s="10"/>
      <c r="AS93" s="10"/>
      <c r="AT93" s="10"/>
      <c r="AU93" s="10"/>
      <c r="AV93" s="10"/>
      <c r="AW93" s="10"/>
      <c r="AX93" s="10"/>
      <c r="AY93" s="10"/>
      <c r="AZ93" s="10"/>
      <c r="BA93" s="10"/>
      <c r="BB93" s="10"/>
      <c r="BC93" s="10"/>
      <c r="BD93" s="10"/>
      <c r="BE93" s="10"/>
      <c r="BF93" s="10"/>
      <c r="BG93" s="10"/>
      <c r="BH93" s="10"/>
    </row>
    <row r="94" spans="1:60" x14ac:dyDescent="0.2">
      <c r="A94" s="10"/>
      <c r="B94" s="10"/>
      <c r="C94" s="10"/>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row>
    <row r="95" spans="1:60" x14ac:dyDescent="0.2">
      <c r="A95" s="10"/>
      <c r="B95" s="10"/>
      <c r="C95" s="10"/>
      <c r="D95" s="10"/>
      <c r="E95" s="10"/>
      <c r="F95" s="10"/>
      <c r="G95" s="10"/>
      <c r="H95" s="10"/>
      <c r="I95" s="10"/>
      <c r="J95" s="10"/>
      <c r="K95" s="10"/>
      <c r="L95" s="10"/>
      <c r="M95" s="10"/>
      <c r="N95" s="10"/>
      <c r="O95" s="10"/>
      <c r="P95" s="10"/>
      <c r="Q95" s="10"/>
      <c r="R95" s="10"/>
      <c r="S95" s="10"/>
      <c r="T95" s="10"/>
      <c r="U95" s="10"/>
      <c r="V95" s="10"/>
      <c r="W95" s="10"/>
      <c r="X95" s="10"/>
      <c r="Y95" s="10"/>
      <c r="Z95" s="10"/>
      <c r="AA95" s="10"/>
      <c r="AB95" s="10"/>
      <c r="AC95" s="10"/>
      <c r="AD95" s="10"/>
      <c r="AE95" s="10"/>
      <c r="AF95" s="10"/>
      <c r="AG95" s="10"/>
      <c r="AH95" s="10"/>
      <c r="AI95" s="10"/>
      <c r="AJ95" s="10"/>
      <c r="AK95" s="10"/>
      <c r="AL95" s="10"/>
      <c r="AM95" s="10"/>
      <c r="AN95" s="10"/>
      <c r="AO95" s="10"/>
      <c r="AP95" s="10"/>
      <c r="AQ95" s="10"/>
      <c r="AR95" s="10"/>
      <c r="AS95" s="10"/>
      <c r="AT95" s="10"/>
      <c r="AU95" s="10"/>
      <c r="AV95" s="10"/>
      <c r="AW95" s="10"/>
      <c r="AX95" s="10"/>
      <c r="AY95" s="10"/>
      <c r="AZ95" s="10"/>
      <c r="BA95" s="10"/>
      <c r="BB95" s="10"/>
      <c r="BC95" s="10"/>
      <c r="BD95" s="10"/>
      <c r="BE95" s="10"/>
      <c r="BF95" s="10"/>
      <c r="BG95" s="10"/>
      <c r="BH95" s="10"/>
    </row>
    <row r="96" spans="1:60" x14ac:dyDescent="0.2">
      <c r="A96" s="10"/>
      <c r="B96" s="10"/>
      <c r="C96" s="10"/>
      <c r="D96" s="10"/>
      <c r="E96" s="10"/>
      <c r="F96" s="10"/>
      <c r="G96" s="10"/>
      <c r="H96" s="10"/>
      <c r="I96" s="10"/>
      <c r="J96" s="10"/>
      <c r="K96" s="10"/>
      <c r="L96" s="10"/>
      <c r="M96" s="10"/>
      <c r="N96" s="10"/>
      <c r="O96" s="10"/>
      <c r="P96" s="10"/>
      <c r="Q96" s="10"/>
      <c r="R96" s="10"/>
      <c r="S96" s="10"/>
      <c r="T96" s="10"/>
      <c r="U96" s="10"/>
      <c r="V96" s="10"/>
      <c r="W96" s="10"/>
      <c r="X96" s="10"/>
      <c r="Y96" s="10"/>
      <c r="Z96" s="10"/>
      <c r="AA96" s="10"/>
      <c r="AB96" s="10"/>
      <c r="AC96" s="10"/>
      <c r="AD96" s="10"/>
      <c r="AE96" s="10"/>
      <c r="AF96" s="10"/>
      <c r="AG96" s="10"/>
      <c r="AH96" s="10"/>
      <c r="AI96" s="10"/>
      <c r="AJ96" s="10"/>
      <c r="AK96" s="10"/>
      <c r="AL96" s="10"/>
      <c r="AM96" s="10"/>
      <c r="AN96" s="10"/>
      <c r="AO96" s="10"/>
      <c r="AP96" s="10"/>
      <c r="AQ96" s="10"/>
      <c r="AR96" s="10"/>
      <c r="AS96" s="10"/>
      <c r="AT96" s="10"/>
      <c r="AU96" s="10"/>
      <c r="AV96" s="10"/>
      <c r="AW96" s="10"/>
      <c r="AX96" s="10"/>
      <c r="AY96" s="10"/>
      <c r="AZ96" s="10"/>
      <c r="BA96" s="10"/>
      <c r="BB96" s="10"/>
      <c r="BC96" s="10"/>
      <c r="BD96" s="10"/>
      <c r="BE96" s="10"/>
      <c r="BF96" s="10"/>
      <c r="BG96" s="10"/>
      <c r="BH96" s="10"/>
    </row>
    <row r="97" spans="1:60"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c r="Z97" s="10"/>
      <c r="AA97" s="10"/>
      <c r="AB97" s="10"/>
      <c r="AC97" s="10"/>
      <c r="AD97" s="10"/>
      <c r="AE97" s="10"/>
      <c r="AF97" s="10"/>
      <c r="AG97" s="10"/>
      <c r="AH97" s="10"/>
      <c r="AI97" s="10"/>
      <c r="AJ97" s="10"/>
      <c r="AK97" s="10"/>
      <c r="AL97" s="10"/>
      <c r="AM97" s="10"/>
      <c r="AN97" s="10"/>
      <c r="AO97" s="10"/>
      <c r="AP97" s="10"/>
      <c r="AQ97" s="10"/>
      <c r="AR97" s="10"/>
      <c r="AS97" s="10"/>
      <c r="AT97" s="10"/>
      <c r="AU97" s="10"/>
      <c r="AV97" s="10"/>
      <c r="AW97" s="10"/>
      <c r="AX97" s="10"/>
      <c r="AY97" s="10"/>
      <c r="AZ97" s="10"/>
      <c r="BA97" s="10"/>
      <c r="BB97" s="10"/>
      <c r="BC97" s="10"/>
      <c r="BD97" s="10"/>
      <c r="BE97" s="10"/>
      <c r="BF97" s="10"/>
      <c r="BG97" s="10"/>
      <c r="BH97" s="10"/>
    </row>
    <row r="98" spans="1:60" x14ac:dyDescent="0.2">
      <c r="A98" s="10"/>
      <c r="B98" s="10"/>
      <c r="C98" s="10"/>
      <c r="D98" s="10"/>
      <c r="E98" s="10"/>
      <c r="F98" s="10"/>
      <c r="G98" s="10"/>
      <c r="H98" s="10"/>
      <c r="I98" s="10"/>
      <c r="J98" s="10"/>
      <c r="K98" s="10"/>
      <c r="L98" s="10"/>
      <c r="M98" s="10"/>
      <c r="N98" s="10"/>
      <c r="O98" s="10"/>
      <c r="P98" s="10"/>
      <c r="Q98" s="10"/>
      <c r="R98" s="10"/>
      <c r="S98" s="10"/>
      <c r="T98" s="10"/>
      <c r="U98" s="10"/>
      <c r="V98" s="10"/>
      <c r="W98" s="10"/>
      <c r="X98" s="10"/>
      <c r="Y98" s="10"/>
      <c r="Z98" s="10"/>
      <c r="AA98" s="10"/>
      <c r="AB98" s="10"/>
      <c r="AC98" s="10"/>
      <c r="AD98" s="10"/>
      <c r="AE98" s="10"/>
      <c r="AF98" s="10"/>
      <c r="AG98" s="10"/>
      <c r="AH98" s="10"/>
      <c r="AI98" s="10"/>
      <c r="AJ98" s="10"/>
      <c r="AK98" s="10"/>
      <c r="AL98" s="10"/>
      <c r="AM98" s="10"/>
      <c r="AN98" s="10"/>
      <c r="AO98" s="10"/>
      <c r="AP98" s="10"/>
      <c r="AQ98" s="10"/>
      <c r="AR98" s="10"/>
      <c r="AS98" s="10"/>
      <c r="AT98" s="10"/>
      <c r="AU98" s="10"/>
      <c r="AV98" s="10"/>
      <c r="AW98" s="10"/>
      <c r="AX98" s="10"/>
      <c r="AY98" s="10"/>
      <c r="AZ98" s="10"/>
      <c r="BA98" s="10"/>
      <c r="BB98" s="10"/>
      <c r="BC98" s="10"/>
      <c r="BD98" s="10"/>
      <c r="BE98" s="10"/>
      <c r="BF98" s="10"/>
      <c r="BG98" s="10"/>
      <c r="BH98" s="10"/>
    </row>
    <row r="99" spans="1:60" x14ac:dyDescent="0.2">
      <c r="A99" s="10"/>
      <c r="B99" s="10"/>
      <c r="C99" s="10"/>
      <c r="D99" s="10"/>
      <c r="E99" s="10"/>
      <c r="F99" s="10"/>
      <c r="G99" s="10"/>
      <c r="H99" s="10"/>
      <c r="I99" s="10"/>
      <c r="J99" s="10"/>
      <c r="K99" s="10"/>
      <c r="L99" s="10"/>
      <c r="M99" s="10"/>
      <c r="N99" s="10"/>
      <c r="O99" s="10"/>
      <c r="P99" s="10"/>
      <c r="Q99" s="10"/>
      <c r="R99" s="10"/>
      <c r="S99" s="10"/>
      <c r="T99" s="10"/>
      <c r="U99" s="10"/>
      <c r="V99" s="10"/>
      <c r="W99" s="10"/>
      <c r="X99" s="10"/>
      <c r="Y99" s="10"/>
      <c r="Z99" s="10"/>
      <c r="AA99" s="10"/>
      <c r="AB99" s="10"/>
      <c r="AC99" s="10"/>
      <c r="AD99" s="10"/>
      <c r="AE99" s="10"/>
      <c r="AF99" s="10"/>
      <c r="AG99" s="10"/>
      <c r="AH99" s="10"/>
      <c r="AI99" s="10"/>
      <c r="AJ99" s="10"/>
      <c r="AK99" s="10"/>
      <c r="AL99" s="10"/>
      <c r="AM99" s="10"/>
      <c r="AN99" s="10"/>
      <c r="AO99" s="10"/>
      <c r="AP99" s="10"/>
      <c r="AQ99" s="10"/>
      <c r="AR99" s="10"/>
      <c r="AS99" s="10"/>
      <c r="AT99" s="10"/>
      <c r="AU99" s="10"/>
      <c r="AV99" s="10"/>
      <c r="AW99" s="10"/>
      <c r="AX99" s="10"/>
      <c r="AY99" s="10"/>
      <c r="AZ99" s="10"/>
      <c r="BA99" s="10"/>
      <c r="BB99" s="10"/>
      <c r="BC99" s="10"/>
      <c r="BD99" s="10"/>
      <c r="BE99" s="10"/>
      <c r="BF99" s="10"/>
      <c r="BG99" s="10"/>
      <c r="BH99" s="10"/>
    </row>
    <row r="100" spans="1:60" x14ac:dyDescent="0.2">
      <c r="A100" s="10"/>
      <c r="B100" s="10"/>
      <c r="C100" s="10"/>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row>
    <row r="101" spans="1:60" x14ac:dyDescent="0.2">
      <c r="A101" s="10"/>
      <c r="B101" s="10"/>
      <c r="C101" s="10"/>
      <c r="D101" s="10"/>
      <c r="E101" s="10"/>
      <c r="F101" s="10"/>
      <c r="G101" s="10"/>
      <c r="H101" s="10"/>
      <c r="I101" s="10"/>
      <c r="J101" s="10"/>
      <c r="K101" s="10"/>
      <c r="L101" s="10"/>
      <c r="M101" s="10"/>
      <c r="N101" s="10"/>
      <c r="O101" s="10"/>
      <c r="P101" s="10"/>
      <c r="Q101" s="10"/>
      <c r="R101" s="10"/>
      <c r="S101" s="10"/>
      <c r="T101" s="10"/>
      <c r="U101" s="10"/>
      <c r="V101" s="10"/>
      <c r="W101" s="10"/>
      <c r="X101" s="10"/>
      <c r="Y101" s="10"/>
      <c r="Z101" s="10"/>
      <c r="AA101" s="10"/>
      <c r="AB101" s="10"/>
      <c r="AC101" s="10"/>
      <c r="AD101" s="10"/>
      <c r="AE101" s="10"/>
      <c r="AF101" s="10"/>
      <c r="AG101" s="10"/>
      <c r="AH101" s="10"/>
      <c r="AI101" s="10"/>
      <c r="AJ101" s="10"/>
      <c r="AK101" s="10"/>
      <c r="AL101" s="10"/>
      <c r="AM101" s="10"/>
      <c r="AN101" s="10"/>
      <c r="AO101" s="10"/>
      <c r="AP101" s="10"/>
      <c r="AQ101" s="10"/>
      <c r="AR101" s="10"/>
      <c r="AS101" s="10"/>
      <c r="AT101" s="10"/>
      <c r="AU101" s="10"/>
      <c r="AV101" s="10"/>
      <c r="AW101" s="10"/>
      <c r="AX101" s="10"/>
      <c r="AY101" s="10"/>
      <c r="AZ101" s="10"/>
      <c r="BA101" s="10"/>
      <c r="BB101" s="10"/>
      <c r="BC101" s="10"/>
      <c r="BD101" s="10"/>
      <c r="BE101" s="10"/>
      <c r="BF101" s="10"/>
      <c r="BG101" s="10"/>
      <c r="BH101" s="10"/>
    </row>
    <row r="102" spans="1:60" x14ac:dyDescent="0.2">
      <c r="A102" s="10"/>
      <c r="B102" s="10"/>
      <c r="C102" s="10"/>
      <c r="D102" s="10"/>
      <c r="E102" s="10"/>
      <c r="F102" s="10"/>
      <c r="G102" s="10"/>
      <c r="H102" s="10"/>
      <c r="I102" s="10"/>
      <c r="J102" s="10"/>
      <c r="K102" s="10"/>
      <c r="L102" s="10"/>
      <c r="M102" s="10"/>
      <c r="N102" s="10"/>
      <c r="O102" s="10"/>
      <c r="P102" s="10"/>
      <c r="Q102" s="10"/>
      <c r="R102" s="10"/>
      <c r="S102" s="10"/>
      <c r="T102" s="10"/>
      <c r="U102" s="10"/>
      <c r="V102" s="10"/>
      <c r="W102" s="10"/>
      <c r="X102" s="10"/>
      <c r="Y102" s="10"/>
      <c r="Z102" s="10"/>
      <c r="AA102" s="10"/>
      <c r="AB102" s="10"/>
      <c r="AC102" s="10"/>
      <c r="AD102" s="10"/>
      <c r="AE102" s="10"/>
      <c r="AF102" s="10"/>
      <c r="AG102" s="10"/>
      <c r="AH102" s="10"/>
      <c r="AI102" s="10"/>
      <c r="AJ102" s="10"/>
      <c r="AK102" s="10"/>
      <c r="AL102" s="10"/>
      <c r="AM102" s="10"/>
      <c r="AN102" s="10"/>
      <c r="AO102" s="10"/>
      <c r="AP102" s="10"/>
      <c r="AQ102" s="10"/>
      <c r="AR102" s="10"/>
      <c r="AS102" s="10"/>
      <c r="AT102" s="10"/>
      <c r="AU102" s="10"/>
      <c r="AV102" s="10"/>
      <c r="AW102" s="10"/>
      <c r="AX102" s="10"/>
      <c r="AY102" s="10"/>
      <c r="AZ102" s="10"/>
      <c r="BA102" s="10"/>
      <c r="BB102" s="10"/>
      <c r="BC102" s="10"/>
      <c r="BD102" s="10"/>
      <c r="BE102" s="10"/>
      <c r="BF102" s="10"/>
      <c r="BG102" s="10"/>
      <c r="BH102" s="10"/>
    </row>
    <row r="103" spans="1:60" x14ac:dyDescent="0.2">
      <c r="A103" s="10"/>
      <c r="B103" s="10"/>
      <c r="C103" s="10"/>
      <c r="D103" s="10"/>
      <c r="E103" s="10"/>
      <c r="F103" s="10"/>
      <c r="G103" s="10"/>
      <c r="H103" s="10"/>
      <c r="I103" s="10"/>
      <c r="J103" s="10"/>
      <c r="K103" s="10"/>
      <c r="L103" s="10"/>
      <c r="M103" s="10"/>
      <c r="N103" s="10"/>
      <c r="O103" s="10"/>
      <c r="P103" s="10"/>
      <c r="Q103" s="10"/>
      <c r="R103" s="10"/>
      <c r="S103" s="10"/>
      <c r="T103" s="10"/>
      <c r="U103" s="10"/>
      <c r="V103" s="10"/>
      <c r="W103" s="10"/>
      <c r="X103" s="10"/>
      <c r="Y103" s="10"/>
      <c r="Z103" s="10"/>
      <c r="AA103" s="10"/>
      <c r="AB103" s="10"/>
      <c r="AC103" s="10"/>
      <c r="AD103" s="10"/>
      <c r="AE103" s="10"/>
      <c r="AF103" s="10"/>
      <c r="AG103" s="10"/>
      <c r="AH103" s="10"/>
      <c r="AI103" s="10"/>
      <c r="AJ103" s="10"/>
      <c r="AK103" s="10"/>
      <c r="AL103" s="10"/>
      <c r="AM103" s="10"/>
      <c r="AN103" s="10"/>
      <c r="AO103" s="10"/>
      <c r="AP103" s="10"/>
      <c r="AQ103" s="10"/>
      <c r="AR103" s="10"/>
      <c r="AS103" s="10"/>
      <c r="AT103" s="10"/>
      <c r="AU103" s="10"/>
      <c r="AV103" s="10"/>
      <c r="AW103" s="10"/>
      <c r="AX103" s="10"/>
      <c r="AY103" s="10"/>
      <c r="AZ103" s="10"/>
      <c r="BA103" s="10"/>
      <c r="BB103" s="10"/>
      <c r="BC103" s="10"/>
      <c r="BD103" s="10"/>
      <c r="BE103" s="10"/>
      <c r="BF103" s="10"/>
      <c r="BG103" s="10"/>
      <c r="BH103" s="10"/>
    </row>
    <row r="104" spans="1:60" x14ac:dyDescent="0.2">
      <c r="A104" s="10"/>
      <c r="B104" s="10"/>
      <c r="C104" s="10"/>
      <c r="D104" s="10"/>
      <c r="E104" s="10"/>
      <c r="F104" s="10"/>
      <c r="G104" s="10"/>
      <c r="H104" s="10"/>
      <c r="I104" s="10"/>
      <c r="J104" s="10"/>
      <c r="K104" s="10"/>
      <c r="L104" s="10"/>
      <c r="M104" s="10"/>
      <c r="N104" s="10"/>
      <c r="O104" s="10"/>
      <c r="P104" s="10"/>
      <c r="Q104" s="10"/>
      <c r="R104" s="10"/>
      <c r="S104" s="10"/>
      <c r="T104" s="10"/>
      <c r="U104" s="10"/>
      <c r="V104" s="10"/>
      <c r="W104" s="10"/>
      <c r="X104" s="10"/>
      <c r="Y104" s="10"/>
      <c r="Z104" s="10"/>
      <c r="AA104" s="10"/>
      <c r="AB104" s="10"/>
      <c r="AC104" s="10"/>
      <c r="AD104" s="10"/>
      <c r="AE104" s="10"/>
      <c r="AF104" s="10"/>
      <c r="AG104" s="10"/>
      <c r="AH104" s="10"/>
      <c r="AI104" s="10"/>
      <c r="AJ104" s="10"/>
      <c r="AK104" s="10"/>
      <c r="AL104" s="10"/>
      <c r="AM104" s="10"/>
      <c r="AN104" s="10"/>
      <c r="AO104" s="10"/>
      <c r="AP104" s="10"/>
      <c r="AQ104" s="10"/>
      <c r="AR104" s="10"/>
      <c r="AS104" s="10"/>
      <c r="AT104" s="10"/>
      <c r="AU104" s="10"/>
      <c r="AV104" s="10"/>
      <c r="AW104" s="10"/>
      <c r="AX104" s="10"/>
      <c r="AY104" s="10"/>
      <c r="AZ104" s="10"/>
      <c r="BA104" s="10"/>
      <c r="BB104" s="10"/>
      <c r="BC104" s="10"/>
      <c r="BD104" s="10"/>
      <c r="BE104" s="10"/>
      <c r="BF104" s="10"/>
      <c r="BG104" s="10"/>
      <c r="BH104" s="10"/>
    </row>
    <row r="105" spans="1:60" x14ac:dyDescent="0.2">
      <c r="A105" s="10"/>
      <c r="B105" s="10"/>
      <c r="C105" s="10"/>
      <c r="D105" s="10"/>
      <c r="E105" s="10"/>
      <c r="F105" s="10"/>
      <c r="G105" s="10"/>
      <c r="H105" s="10"/>
      <c r="I105" s="10"/>
      <c r="J105" s="10"/>
      <c r="K105" s="10"/>
      <c r="L105" s="10"/>
      <c r="M105" s="10"/>
      <c r="N105" s="10"/>
      <c r="O105" s="10"/>
      <c r="P105" s="10"/>
      <c r="Q105" s="10"/>
      <c r="R105" s="10"/>
      <c r="S105" s="10"/>
      <c r="T105" s="10"/>
      <c r="U105" s="10"/>
      <c r="V105" s="10"/>
      <c r="W105" s="10"/>
      <c r="X105" s="10"/>
      <c r="Y105" s="10"/>
      <c r="Z105" s="10"/>
      <c r="AA105" s="10"/>
      <c r="AB105" s="10"/>
      <c r="AC105" s="10"/>
      <c r="AD105" s="10"/>
      <c r="AE105" s="10"/>
      <c r="AF105" s="10"/>
      <c r="AG105" s="10"/>
      <c r="AH105" s="10"/>
      <c r="AI105" s="10"/>
      <c r="AJ105" s="10"/>
      <c r="AK105" s="10"/>
      <c r="AL105" s="10"/>
      <c r="AM105" s="10"/>
      <c r="AN105" s="10"/>
      <c r="AO105" s="10"/>
      <c r="AP105" s="10"/>
      <c r="AQ105" s="10"/>
      <c r="AR105" s="10"/>
      <c r="AS105" s="10"/>
      <c r="AT105" s="10"/>
      <c r="AU105" s="10"/>
      <c r="AV105" s="10"/>
      <c r="AW105" s="10"/>
      <c r="AX105" s="10"/>
      <c r="AY105" s="10"/>
      <c r="AZ105" s="10"/>
      <c r="BA105" s="10"/>
      <c r="BB105" s="10"/>
      <c r="BC105" s="10"/>
      <c r="BD105" s="10"/>
      <c r="BE105" s="10"/>
      <c r="BF105" s="10"/>
      <c r="BG105" s="10"/>
      <c r="BH105" s="10"/>
    </row>
    <row r="106" spans="1:60" x14ac:dyDescent="0.2">
      <c r="A106" s="10"/>
      <c r="B106" s="10"/>
      <c r="C106" s="10"/>
      <c r="D106" s="10"/>
      <c r="E106" s="10"/>
      <c r="F106" s="10"/>
      <c r="G106" s="10"/>
      <c r="H106" s="10"/>
      <c r="I106" s="10"/>
      <c r="J106" s="10"/>
      <c r="K106" s="10"/>
      <c r="L106" s="10"/>
      <c r="M106" s="10"/>
      <c r="N106" s="10"/>
      <c r="O106" s="10"/>
      <c r="P106" s="10"/>
      <c r="Q106" s="10"/>
      <c r="R106" s="10"/>
      <c r="S106" s="10"/>
      <c r="T106" s="10"/>
      <c r="U106" s="10"/>
      <c r="V106" s="10"/>
      <c r="W106" s="10"/>
      <c r="X106" s="10"/>
      <c r="Y106" s="10"/>
      <c r="Z106" s="10"/>
      <c r="AA106" s="10"/>
      <c r="AB106" s="10"/>
      <c r="AC106" s="10"/>
      <c r="AD106" s="10"/>
      <c r="AE106" s="10"/>
      <c r="AF106" s="10"/>
      <c r="AG106" s="10"/>
      <c r="AH106" s="10"/>
      <c r="AI106" s="10"/>
      <c r="AJ106" s="10"/>
      <c r="AK106" s="10"/>
      <c r="AL106" s="10"/>
      <c r="AM106" s="10"/>
      <c r="AN106" s="10"/>
      <c r="AO106" s="10"/>
      <c r="AP106" s="10"/>
      <c r="AQ106" s="10"/>
      <c r="AR106" s="10"/>
      <c r="AS106" s="10"/>
      <c r="AT106" s="10"/>
      <c r="AU106" s="10"/>
      <c r="AV106" s="10"/>
      <c r="AW106" s="10"/>
      <c r="AX106" s="10"/>
      <c r="AY106" s="10"/>
      <c r="AZ106" s="10"/>
      <c r="BA106" s="10"/>
      <c r="BB106" s="10"/>
      <c r="BC106" s="10"/>
      <c r="BD106" s="10"/>
      <c r="BE106" s="10"/>
      <c r="BF106" s="10"/>
      <c r="BG106" s="10"/>
      <c r="BH106" s="10"/>
    </row>
    <row r="107" spans="1:60" x14ac:dyDescent="0.2">
      <c r="A107" s="10"/>
      <c r="B107" s="10"/>
      <c r="C107" s="10"/>
      <c r="D107" s="10"/>
      <c r="E107" s="10"/>
      <c r="F107" s="10"/>
      <c r="G107" s="10"/>
      <c r="H107" s="10"/>
      <c r="I107" s="10"/>
      <c r="J107" s="10"/>
      <c r="K107" s="10"/>
      <c r="L107" s="10"/>
      <c r="M107" s="10"/>
      <c r="N107" s="10"/>
      <c r="O107" s="10"/>
      <c r="P107" s="10"/>
      <c r="Q107" s="10"/>
      <c r="R107" s="10"/>
      <c r="S107" s="10"/>
      <c r="T107" s="10"/>
      <c r="U107" s="10"/>
      <c r="V107" s="10"/>
      <c r="W107" s="10"/>
      <c r="X107" s="10"/>
      <c r="Y107" s="10"/>
      <c r="Z107" s="10"/>
      <c r="AA107" s="10"/>
      <c r="AB107" s="10"/>
      <c r="AC107" s="10"/>
      <c r="AD107" s="10"/>
      <c r="AE107" s="10"/>
      <c r="AF107" s="10"/>
      <c r="AG107" s="10"/>
      <c r="AH107" s="10"/>
      <c r="AI107" s="10"/>
      <c r="AJ107" s="10"/>
      <c r="AK107" s="10"/>
      <c r="AL107" s="10"/>
      <c r="AM107" s="10"/>
      <c r="AN107" s="10"/>
      <c r="AO107" s="10"/>
      <c r="AP107" s="10"/>
      <c r="AQ107" s="10"/>
      <c r="AR107" s="10"/>
      <c r="AS107" s="10"/>
      <c r="AT107" s="10"/>
      <c r="AU107" s="10"/>
      <c r="AV107" s="10"/>
      <c r="AW107" s="10"/>
      <c r="AX107" s="10"/>
      <c r="AY107" s="10"/>
      <c r="AZ107" s="10"/>
      <c r="BA107" s="10"/>
      <c r="BB107" s="10"/>
      <c r="BC107" s="10"/>
      <c r="BD107" s="10"/>
      <c r="BE107" s="10"/>
      <c r="BF107" s="10"/>
      <c r="BG107" s="10"/>
      <c r="BH107" s="10"/>
    </row>
    <row r="108" spans="1:60" x14ac:dyDescent="0.2">
      <c r="A108" s="10"/>
      <c r="B108" s="10"/>
      <c r="C108" s="10"/>
      <c r="D108" s="10"/>
      <c r="E108" s="10"/>
      <c r="F108" s="10"/>
      <c r="G108" s="10"/>
      <c r="H108" s="10"/>
      <c r="I108" s="10"/>
      <c r="J108" s="10"/>
      <c r="K108" s="10"/>
      <c r="L108" s="10"/>
      <c r="M108" s="10"/>
      <c r="N108" s="10"/>
      <c r="O108" s="10"/>
      <c r="P108" s="10"/>
      <c r="Q108" s="10"/>
      <c r="R108" s="10"/>
      <c r="S108" s="10"/>
      <c r="T108" s="10"/>
      <c r="U108" s="10"/>
      <c r="V108" s="10"/>
      <c r="W108" s="10"/>
      <c r="X108" s="10"/>
      <c r="Y108" s="10"/>
      <c r="Z108" s="10"/>
      <c r="AA108" s="10"/>
      <c r="AB108" s="10"/>
      <c r="AC108" s="10"/>
      <c r="AD108" s="10"/>
      <c r="AE108" s="10"/>
      <c r="AF108" s="10"/>
      <c r="AG108" s="10"/>
      <c r="AH108" s="10"/>
      <c r="AI108" s="10"/>
      <c r="AJ108" s="10"/>
      <c r="AK108" s="10"/>
      <c r="AL108" s="10"/>
      <c r="AM108" s="10"/>
      <c r="AN108" s="10"/>
      <c r="AO108" s="10"/>
      <c r="AP108" s="10"/>
      <c r="AQ108" s="10"/>
      <c r="AR108" s="10"/>
      <c r="AS108" s="10"/>
      <c r="AT108" s="10"/>
      <c r="AU108" s="10"/>
      <c r="AV108" s="10"/>
      <c r="AW108" s="10"/>
      <c r="AX108" s="10"/>
      <c r="AY108" s="10"/>
      <c r="AZ108" s="10"/>
      <c r="BA108" s="10"/>
      <c r="BB108" s="10"/>
      <c r="BC108" s="10"/>
      <c r="BD108" s="10"/>
      <c r="BE108" s="10"/>
      <c r="BF108" s="10"/>
      <c r="BG108" s="10"/>
      <c r="BH108" s="10"/>
    </row>
    <row r="109" spans="1:60" x14ac:dyDescent="0.2">
      <c r="A109" s="10"/>
      <c r="B109" s="10"/>
      <c r="C109" s="10"/>
      <c r="D109" s="10"/>
      <c r="E109" s="10"/>
      <c r="F109" s="10"/>
      <c r="G109" s="10"/>
      <c r="H109" s="10"/>
      <c r="I109" s="10"/>
      <c r="J109" s="10"/>
      <c r="K109" s="10"/>
      <c r="L109" s="10"/>
      <c r="M109" s="10"/>
      <c r="N109" s="10"/>
      <c r="O109" s="10"/>
      <c r="P109" s="10"/>
      <c r="Q109" s="10"/>
      <c r="R109" s="10"/>
      <c r="S109" s="10"/>
      <c r="T109" s="10"/>
      <c r="U109" s="10"/>
      <c r="V109" s="10"/>
      <c r="W109" s="10"/>
      <c r="X109" s="10"/>
      <c r="Y109" s="10"/>
      <c r="Z109" s="10"/>
      <c r="AA109" s="10"/>
      <c r="AB109" s="10"/>
      <c r="AC109" s="10"/>
      <c r="AD109" s="10"/>
      <c r="AE109" s="10"/>
      <c r="AF109" s="10"/>
      <c r="AG109" s="10"/>
      <c r="AH109" s="10"/>
      <c r="AI109" s="10"/>
      <c r="AJ109" s="10"/>
      <c r="AK109" s="10"/>
      <c r="AL109" s="10"/>
      <c r="AM109" s="10"/>
      <c r="AN109" s="10"/>
      <c r="AO109" s="10"/>
      <c r="AP109" s="10"/>
      <c r="AQ109" s="10"/>
      <c r="AR109" s="10"/>
      <c r="AS109" s="10"/>
      <c r="AT109" s="10"/>
      <c r="AU109" s="10"/>
      <c r="AV109" s="10"/>
      <c r="AW109" s="10"/>
      <c r="AX109" s="10"/>
      <c r="AY109" s="10"/>
      <c r="AZ109" s="10"/>
      <c r="BA109" s="10"/>
      <c r="BB109" s="10"/>
      <c r="BC109" s="10"/>
      <c r="BD109" s="10"/>
      <c r="BE109" s="10"/>
      <c r="BF109" s="10"/>
      <c r="BG109" s="10"/>
      <c r="BH109" s="10"/>
    </row>
    <row r="110" spans="1:60" x14ac:dyDescent="0.2">
      <c r="A110" s="10"/>
      <c r="B110" s="10"/>
      <c r="C110" s="10"/>
      <c r="D110" s="10"/>
      <c r="E110" s="10"/>
      <c r="F110" s="10"/>
      <c r="G110" s="10"/>
      <c r="H110" s="10"/>
      <c r="I110" s="10"/>
      <c r="J110" s="10"/>
      <c r="K110" s="10"/>
      <c r="L110" s="10"/>
      <c r="M110" s="10"/>
      <c r="N110" s="10"/>
      <c r="O110" s="10"/>
      <c r="P110" s="10"/>
      <c r="Q110" s="10"/>
      <c r="R110" s="10"/>
      <c r="S110" s="10"/>
      <c r="T110" s="10"/>
      <c r="U110" s="10"/>
      <c r="V110" s="10"/>
      <c r="W110" s="10"/>
      <c r="X110" s="10"/>
      <c r="Y110" s="10"/>
      <c r="Z110" s="10"/>
      <c r="AA110" s="10"/>
      <c r="AB110" s="10"/>
      <c r="AC110" s="10"/>
      <c r="AD110" s="10"/>
      <c r="AE110" s="10"/>
      <c r="AF110" s="10"/>
      <c r="AG110" s="10"/>
      <c r="AH110" s="10"/>
      <c r="AI110" s="10"/>
      <c r="AJ110" s="10"/>
      <c r="AK110" s="10"/>
      <c r="AL110" s="10"/>
      <c r="AM110" s="10"/>
      <c r="AN110" s="10"/>
      <c r="AO110" s="10"/>
      <c r="AP110" s="10"/>
      <c r="AQ110" s="10"/>
      <c r="AR110" s="10"/>
      <c r="AS110" s="10"/>
      <c r="AT110" s="10"/>
      <c r="AU110" s="10"/>
      <c r="AV110" s="10"/>
      <c r="AW110" s="10"/>
      <c r="AX110" s="10"/>
      <c r="AY110" s="10"/>
      <c r="AZ110" s="10"/>
      <c r="BA110" s="10"/>
      <c r="BB110" s="10"/>
      <c r="BC110" s="10"/>
      <c r="BD110" s="10"/>
      <c r="BE110" s="10"/>
      <c r="BF110" s="10"/>
      <c r="BG110" s="10"/>
      <c r="BH110" s="10"/>
    </row>
    <row r="111" spans="1:60" x14ac:dyDescent="0.2">
      <c r="A111" s="10"/>
      <c r="B111" s="10"/>
      <c r="C111" s="10"/>
      <c r="D111" s="10"/>
      <c r="E111" s="10"/>
      <c r="F111" s="10"/>
      <c r="G111" s="10"/>
      <c r="H111" s="10"/>
      <c r="I111" s="10"/>
      <c r="J111" s="10"/>
      <c r="K111" s="10"/>
      <c r="L111" s="10"/>
      <c r="M111" s="10"/>
      <c r="N111" s="10"/>
      <c r="O111" s="10"/>
      <c r="P111" s="10"/>
      <c r="Q111" s="10"/>
      <c r="R111" s="10"/>
      <c r="S111" s="10"/>
      <c r="T111" s="10"/>
      <c r="U111" s="10"/>
      <c r="V111" s="10"/>
      <c r="W111" s="10"/>
      <c r="X111" s="10"/>
      <c r="Y111" s="10"/>
      <c r="Z111" s="10"/>
      <c r="AA111" s="10"/>
      <c r="AB111" s="10"/>
      <c r="AC111" s="10"/>
      <c r="AD111" s="10"/>
      <c r="AE111" s="10"/>
      <c r="AF111" s="10"/>
      <c r="AG111" s="10"/>
      <c r="AH111" s="10"/>
      <c r="AI111" s="10"/>
      <c r="AJ111" s="10"/>
      <c r="AK111" s="10"/>
      <c r="AL111" s="10"/>
      <c r="AM111" s="10"/>
      <c r="AN111" s="10"/>
      <c r="AO111" s="10"/>
      <c r="AP111" s="10"/>
      <c r="AQ111" s="10"/>
      <c r="AR111" s="10"/>
      <c r="AS111" s="10"/>
      <c r="AT111" s="10"/>
      <c r="AU111" s="10"/>
      <c r="AV111" s="10"/>
      <c r="AW111" s="10"/>
      <c r="AX111" s="10"/>
      <c r="AY111" s="10"/>
      <c r="AZ111" s="10"/>
      <c r="BA111" s="10"/>
      <c r="BB111" s="10"/>
      <c r="BC111" s="10"/>
      <c r="BD111" s="10"/>
      <c r="BE111" s="10"/>
      <c r="BF111" s="10"/>
      <c r="BG111" s="10"/>
      <c r="BH111" s="10"/>
    </row>
    <row r="112" spans="1:60" x14ac:dyDescent="0.2">
      <c r="A112" s="10"/>
      <c r="B112" s="10"/>
      <c r="C112" s="10"/>
      <c r="D112" s="10"/>
      <c r="E112" s="10"/>
      <c r="F112" s="10"/>
      <c r="G112" s="10"/>
      <c r="H112" s="10"/>
      <c r="I112" s="10"/>
      <c r="J112" s="10"/>
      <c r="K112" s="10"/>
      <c r="L112" s="10"/>
      <c r="M112" s="10"/>
      <c r="N112" s="10"/>
      <c r="O112" s="10"/>
      <c r="P112" s="10"/>
      <c r="Q112" s="10"/>
      <c r="R112" s="10"/>
      <c r="S112" s="10"/>
      <c r="T112" s="10"/>
      <c r="U112" s="10"/>
      <c r="V112" s="10"/>
      <c r="W112" s="10"/>
      <c r="X112" s="10"/>
      <c r="Y112" s="10"/>
      <c r="Z112" s="10"/>
      <c r="AA112" s="10"/>
      <c r="AB112" s="10"/>
      <c r="AC112" s="10"/>
      <c r="AD112" s="10"/>
      <c r="AE112" s="10"/>
      <c r="AF112" s="10"/>
      <c r="AG112" s="10"/>
      <c r="AH112" s="10"/>
      <c r="AI112" s="10"/>
      <c r="AJ112" s="10"/>
      <c r="AK112" s="10"/>
      <c r="AL112" s="10"/>
      <c r="AM112" s="10"/>
      <c r="AN112" s="10"/>
      <c r="AO112" s="10"/>
      <c r="AP112" s="10"/>
      <c r="AQ112" s="10"/>
      <c r="AR112" s="10"/>
      <c r="AS112" s="10"/>
      <c r="AT112" s="10"/>
      <c r="AU112" s="10"/>
      <c r="AV112" s="10"/>
      <c r="AW112" s="10"/>
      <c r="AX112" s="10"/>
      <c r="AY112" s="10"/>
      <c r="AZ112" s="10"/>
      <c r="BA112" s="10"/>
      <c r="BB112" s="10"/>
      <c r="BC112" s="10"/>
      <c r="BD112" s="10"/>
      <c r="BE112" s="10"/>
      <c r="BF112" s="10"/>
      <c r="BG112" s="10"/>
      <c r="BH112" s="10"/>
    </row>
    <row r="113" spans="1:60" x14ac:dyDescent="0.2">
      <c r="A113" s="10"/>
      <c r="B113" s="10"/>
      <c r="C113" s="10"/>
      <c r="D113" s="10"/>
      <c r="E113" s="10"/>
      <c r="F113" s="10"/>
      <c r="G113" s="10"/>
      <c r="H113" s="10"/>
      <c r="I113" s="10"/>
      <c r="J113" s="10"/>
      <c r="K113" s="10"/>
      <c r="L113" s="10"/>
      <c r="M113" s="10"/>
      <c r="N113" s="10"/>
      <c r="O113" s="10"/>
      <c r="P113" s="10"/>
      <c r="Q113" s="10"/>
      <c r="R113" s="10"/>
      <c r="S113" s="10"/>
      <c r="T113" s="10"/>
      <c r="U113" s="10"/>
      <c r="V113" s="10"/>
      <c r="W113" s="10"/>
      <c r="X113" s="10"/>
      <c r="Y113" s="10"/>
      <c r="Z113" s="10"/>
      <c r="AA113" s="10"/>
      <c r="AB113" s="10"/>
      <c r="AC113" s="10"/>
      <c r="AD113" s="10"/>
      <c r="AE113" s="10"/>
      <c r="AF113" s="10"/>
      <c r="AG113" s="10"/>
      <c r="AH113" s="10"/>
      <c r="AI113" s="10"/>
      <c r="AJ113" s="10"/>
      <c r="AK113" s="10"/>
      <c r="AL113" s="10"/>
      <c r="AM113" s="10"/>
      <c r="AN113" s="10"/>
      <c r="AO113" s="10"/>
      <c r="AP113" s="10"/>
      <c r="AQ113" s="10"/>
      <c r="AR113" s="10"/>
      <c r="AS113" s="10"/>
      <c r="AT113" s="10"/>
      <c r="AU113" s="10"/>
      <c r="AV113" s="10"/>
      <c r="AW113" s="10"/>
      <c r="AX113" s="10"/>
      <c r="AY113" s="10"/>
      <c r="AZ113" s="10"/>
      <c r="BA113" s="10"/>
      <c r="BB113" s="10"/>
      <c r="BC113" s="10"/>
      <c r="BD113" s="10"/>
      <c r="BE113" s="10"/>
      <c r="BF113" s="10"/>
      <c r="BG113" s="10"/>
      <c r="BH113" s="10"/>
    </row>
    <row r="114" spans="1:60" x14ac:dyDescent="0.2">
      <c r="A114" s="10"/>
      <c r="B114" s="10"/>
      <c r="C114" s="10"/>
      <c r="D114" s="10"/>
      <c r="E114" s="10"/>
      <c r="F114" s="10"/>
      <c r="G114" s="10"/>
      <c r="H114" s="10"/>
      <c r="I114" s="10"/>
      <c r="J114" s="10"/>
      <c r="K114" s="10"/>
      <c r="L114" s="10"/>
      <c r="M114" s="10"/>
      <c r="N114" s="10"/>
      <c r="O114" s="10"/>
      <c r="P114" s="10"/>
      <c r="Q114" s="10"/>
      <c r="R114" s="10"/>
      <c r="S114" s="10"/>
      <c r="T114" s="10"/>
      <c r="U114" s="10"/>
      <c r="V114" s="10"/>
      <c r="W114" s="10"/>
      <c r="X114" s="10"/>
      <c r="Y114" s="10"/>
      <c r="Z114" s="10"/>
      <c r="AA114" s="10"/>
      <c r="AB114" s="10"/>
      <c r="AC114" s="10"/>
      <c r="AD114" s="10"/>
      <c r="AE114" s="10"/>
      <c r="AF114" s="10"/>
      <c r="AG114" s="10"/>
      <c r="AH114" s="10"/>
      <c r="AI114" s="10"/>
      <c r="AJ114" s="10"/>
      <c r="AK114" s="10"/>
      <c r="AL114" s="10"/>
      <c r="AM114" s="10"/>
      <c r="AN114" s="10"/>
      <c r="AO114" s="10"/>
      <c r="AP114" s="10"/>
      <c r="AQ114" s="10"/>
      <c r="AR114" s="10"/>
      <c r="AS114" s="10"/>
      <c r="AT114" s="10"/>
      <c r="AU114" s="10"/>
      <c r="AV114" s="10"/>
      <c r="AW114" s="10"/>
      <c r="AX114" s="10"/>
      <c r="AY114" s="10"/>
      <c r="AZ114" s="10"/>
      <c r="BA114" s="10"/>
      <c r="BB114" s="10"/>
      <c r="BC114" s="10"/>
      <c r="BD114" s="10"/>
      <c r="BE114" s="10"/>
      <c r="BF114" s="10"/>
      <c r="BG114" s="10"/>
      <c r="BH114" s="10"/>
    </row>
    <row r="115" spans="1:60" x14ac:dyDescent="0.2">
      <c r="A115" s="10"/>
      <c r="B115" s="10"/>
      <c r="C115" s="10"/>
      <c r="D115" s="10"/>
      <c r="E115" s="10"/>
      <c r="F115" s="10"/>
      <c r="G115" s="10"/>
      <c r="H115" s="10"/>
      <c r="I115" s="10"/>
      <c r="J115" s="10"/>
      <c r="K115" s="10"/>
      <c r="L115" s="10"/>
      <c r="M115" s="10"/>
      <c r="N115" s="10"/>
      <c r="O115" s="10"/>
      <c r="P115" s="10"/>
      <c r="Q115" s="10"/>
      <c r="R115" s="10"/>
      <c r="S115" s="10"/>
      <c r="T115" s="10"/>
      <c r="U115" s="10"/>
      <c r="V115" s="10"/>
      <c r="W115" s="10"/>
      <c r="X115" s="10"/>
      <c r="Y115" s="10"/>
      <c r="Z115" s="10"/>
      <c r="AA115" s="10"/>
      <c r="AB115" s="10"/>
      <c r="AC115" s="10"/>
      <c r="AD115" s="10"/>
      <c r="AE115" s="10"/>
      <c r="AF115" s="10"/>
      <c r="AG115" s="10"/>
      <c r="AH115" s="10"/>
      <c r="AI115" s="10"/>
      <c r="AJ115" s="10"/>
      <c r="AK115" s="10"/>
      <c r="AL115" s="10"/>
      <c r="AM115" s="10"/>
      <c r="AN115" s="10"/>
      <c r="AO115" s="10"/>
      <c r="AP115" s="10"/>
      <c r="AQ115" s="10"/>
      <c r="AR115" s="10"/>
      <c r="AS115" s="10"/>
      <c r="AT115" s="10"/>
      <c r="AU115" s="10"/>
      <c r="AV115" s="10"/>
      <c r="AW115" s="10"/>
      <c r="AX115" s="10"/>
      <c r="AY115" s="10"/>
      <c r="AZ115" s="10"/>
      <c r="BA115" s="10"/>
      <c r="BB115" s="10"/>
      <c r="BC115" s="10"/>
      <c r="BD115" s="10"/>
      <c r="BE115" s="10"/>
      <c r="BF115" s="10"/>
      <c r="BG115" s="10"/>
      <c r="BH115" s="10"/>
    </row>
    <row r="116" spans="1:60" x14ac:dyDescent="0.2">
      <c r="A116" s="10"/>
      <c r="B116" s="10"/>
      <c r="C116" s="10"/>
      <c r="D116" s="10"/>
      <c r="E116" s="10"/>
      <c r="F116" s="10"/>
      <c r="G116" s="10"/>
      <c r="H116" s="10"/>
      <c r="I116" s="10"/>
      <c r="J116" s="10"/>
      <c r="K116" s="10"/>
      <c r="L116" s="10"/>
      <c r="M116" s="10"/>
      <c r="N116" s="10"/>
      <c r="O116" s="10"/>
      <c r="P116" s="10"/>
      <c r="Q116" s="10"/>
      <c r="R116" s="10"/>
      <c r="S116" s="10"/>
      <c r="T116" s="10"/>
      <c r="U116" s="10"/>
      <c r="V116" s="10"/>
      <c r="W116" s="10"/>
      <c r="X116" s="10"/>
      <c r="Y116" s="10"/>
      <c r="Z116" s="10"/>
      <c r="AA116" s="10"/>
      <c r="AB116" s="10"/>
      <c r="AC116" s="10"/>
      <c r="AD116" s="10"/>
      <c r="AE116" s="10"/>
      <c r="AF116" s="10"/>
      <c r="AG116" s="10"/>
      <c r="AH116" s="10"/>
      <c r="AI116" s="10"/>
      <c r="AJ116" s="10"/>
      <c r="AK116" s="10"/>
      <c r="AL116" s="10"/>
      <c r="AM116" s="10"/>
      <c r="AN116" s="10"/>
      <c r="AO116" s="10"/>
      <c r="AP116" s="10"/>
      <c r="AQ116" s="10"/>
      <c r="AR116" s="10"/>
      <c r="AS116" s="10"/>
      <c r="AT116" s="10"/>
      <c r="AU116" s="10"/>
      <c r="AV116" s="10"/>
      <c r="AW116" s="10"/>
      <c r="AX116" s="10"/>
      <c r="AY116" s="10"/>
      <c r="AZ116" s="10"/>
      <c r="BA116" s="10"/>
      <c r="BB116" s="10"/>
      <c r="BC116" s="10"/>
      <c r="BD116" s="10"/>
      <c r="BE116" s="10"/>
      <c r="BF116" s="10"/>
      <c r="BG116" s="10"/>
      <c r="BH116" s="10"/>
    </row>
    <row r="117" spans="1:60" x14ac:dyDescent="0.2">
      <c r="A117" s="10"/>
      <c r="B117" s="10"/>
      <c r="C117" s="10"/>
      <c r="D117" s="10"/>
      <c r="E117" s="10"/>
      <c r="F117" s="10"/>
      <c r="G117" s="10"/>
      <c r="H117" s="10"/>
      <c r="I117" s="10"/>
      <c r="J117" s="10"/>
      <c r="K117" s="10"/>
      <c r="L117" s="10"/>
      <c r="M117" s="10"/>
      <c r="N117" s="10"/>
      <c r="O117" s="10"/>
      <c r="P117" s="10"/>
      <c r="Q117" s="10"/>
      <c r="R117" s="10"/>
      <c r="S117" s="10"/>
      <c r="T117" s="10"/>
      <c r="U117" s="10"/>
      <c r="V117" s="10"/>
      <c r="W117" s="10"/>
      <c r="X117" s="10"/>
      <c r="Y117" s="10"/>
      <c r="Z117" s="10"/>
      <c r="AA117" s="10"/>
      <c r="AB117" s="10"/>
      <c r="AC117" s="10"/>
      <c r="AD117" s="10"/>
      <c r="AE117" s="10"/>
      <c r="AF117" s="10"/>
      <c r="AG117" s="10"/>
      <c r="AH117" s="10"/>
      <c r="AI117" s="10"/>
      <c r="AJ117" s="10"/>
      <c r="AK117" s="10"/>
      <c r="AL117" s="10"/>
      <c r="AM117" s="10"/>
      <c r="AN117" s="10"/>
      <c r="AO117" s="10"/>
      <c r="AP117" s="10"/>
      <c r="AQ117" s="10"/>
      <c r="AR117" s="10"/>
      <c r="AS117" s="10"/>
      <c r="AT117" s="10"/>
      <c r="AU117" s="10"/>
      <c r="AV117" s="10"/>
      <c r="AW117" s="10"/>
      <c r="AX117" s="10"/>
      <c r="AY117" s="10"/>
      <c r="AZ117" s="10"/>
      <c r="BA117" s="10"/>
      <c r="BB117" s="10"/>
      <c r="BC117" s="10"/>
      <c r="BD117" s="10"/>
      <c r="BE117" s="10"/>
      <c r="BF117" s="10"/>
      <c r="BG117" s="10"/>
      <c r="BH117" s="10"/>
    </row>
    <row r="118" spans="1:60" x14ac:dyDescent="0.2">
      <c r="A118" s="10"/>
      <c r="B118" s="10"/>
      <c r="C118" s="10"/>
      <c r="D118" s="10"/>
      <c r="E118" s="10"/>
      <c r="F118" s="10"/>
      <c r="G118" s="10"/>
      <c r="H118" s="10"/>
      <c r="I118" s="10"/>
      <c r="J118" s="10"/>
      <c r="K118" s="10"/>
      <c r="L118" s="10"/>
      <c r="M118" s="10"/>
      <c r="N118" s="10"/>
      <c r="O118" s="10"/>
      <c r="P118" s="10"/>
      <c r="Q118" s="10"/>
      <c r="R118" s="10"/>
      <c r="S118" s="10"/>
      <c r="T118" s="10"/>
      <c r="U118" s="10"/>
      <c r="V118" s="10"/>
      <c r="W118" s="10"/>
      <c r="X118" s="10"/>
      <c r="Y118" s="10"/>
      <c r="Z118" s="10"/>
      <c r="AA118" s="10"/>
      <c r="AB118" s="10"/>
      <c r="AC118" s="10"/>
      <c r="AD118" s="10"/>
      <c r="AE118" s="10"/>
      <c r="AF118" s="10"/>
      <c r="AG118" s="10"/>
      <c r="AH118" s="10"/>
      <c r="AI118" s="10"/>
      <c r="AJ118" s="10"/>
      <c r="AK118" s="10"/>
      <c r="AL118" s="10"/>
      <c r="AM118" s="10"/>
      <c r="AN118" s="10"/>
      <c r="AO118" s="10"/>
      <c r="AP118" s="10"/>
      <c r="AQ118" s="10"/>
      <c r="AR118" s="10"/>
      <c r="AS118" s="10"/>
      <c r="AT118" s="10"/>
      <c r="AU118" s="10"/>
      <c r="AV118" s="10"/>
      <c r="AW118" s="10"/>
      <c r="AX118" s="10"/>
      <c r="AY118" s="10"/>
      <c r="AZ118" s="10"/>
      <c r="BA118" s="10"/>
      <c r="BB118" s="10"/>
      <c r="BC118" s="10"/>
      <c r="BD118" s="10"/>
      <c r="BE118" s="10"/>
      <c r="BF118" s="10"/>
      <c r="BG118" s="10"/>
      <c r="BH118" s="10"/>
    </row>
    <row r="119" spans="1:60" x14ac:dyDescent="0.2">
      <c r="A119" s="10"/>
      <c r="B119" s="10"/>
      <c r="C119" s="10"/>
      <c r="D119" s="10"/>
      <c r="E119" s="10"/>
      <c r="F119" s="10"/>
      <c r="G119" s="10"/>
      <c r="H119" s="10"/>
      <c r="I119" s="10"/>
      <c r="J119" s="10"/>
      <c r="K119" s="10"/>
      <c r="L119" s="10"/>
      <c r="M119" s="10"/>
      <c r="N119" s="10"/>
      <c r="O119" s="10"/>
      <c r="P119" s="10"/>
      <c r="Q119" s="10"/>
      <c r="R119" s="10"/>
      <c r="S119" s="10"/>
      <c r="T119" s="10"/>
      <c r="U119" s="10"/>
      <c r="V119" s="10"/>
      <c r="W119" s="10"/>
      <c r="X119" s="10"/>
      <c r="Y119" s="10"/>
      <c r="Z119" s="10"/>
      <c r="AA119" s="10"/>
      <c r="AB119" s="10"/>
      <c r="AC119" s="10"/>
      <c r="AD119" s="10"/>
      <c r="AE119" s="10"/>
      <c r="AF119" s="10"/>
      <c r="AG119" s="10"/>
      <c r="AH119" s="10"/>
      <c r="AI119" s="10"/>
      <c r="AJ119" s="10"/>
      <c r="AK119" s="10"/>
      <c r="AL119" s="10"/>
      <c r="AM119" s="10"/>
      <c r="AN119" s="10"/>
      <c r="AO119" s="10"/>
      <c r="AP119" s="10"/>
      <c r="AQ119" s="10"/>
      <c r="AR119" s="10"/>
      <c r="AS119" s="10"/>
      <c r="AT119" s="10"/>
      <c r="AU119" s="10"/>
      <c r="AV119" s="10"/>
      <c r="AW119" s="10"/>
      <c r="AX119" s="10"/>
      <c r="AY119" s="10"/>
      <c r="AZ119" s="10"/>
      <c r="BA119" s="10"/>
      <c r="BB119" s="10"/>
      <c r="BC119" s="10"/>
      <c r="BD119" s="10"/>
      <c r="BE119" s="10"/>
      <c r="BF119" s="10"/>
      <c r="BG119" s="10"/>
      <c r="BH119" s="10"/>
    </row>
    <row r="120" spans="1:60" x14ac:dyDescent="0.2">
      <c r="A120" s="10"/>
      <c r="B120" s="10"/>
      <c r="C120" s="10"/>
      <c r="D120" s="10"/>
      <c r="E120" s="10"/>
      <c r="F120" s="10"/>
      <c r="G120" s="10"/>
      <c r="H120" s="10"/>
      <c r="I120" s="10"/>
      <c r="J120" s="10"/>
      <c r="K120" s="10"/>
      <c r="L120" s="10"/>
      <c r="M120" s="10"/>
      <c r="N120" s="10"/>
      <c r="O120" s="10"/>
      <c r="P120" s="10"/>
      <c r="Q120" s="10"/>
      <c r="R120" s="10"/>
      <c r="S120" s="10"/>
      <c r="T120" s="10"/>
      <c r="U120" s="10"/>
      <c r="V120" s="10"/>
      <c r="W120" s="10"/>
      <c r="X120" s="10"/>
      <c r="Y120" s="10"/>
      <c r="Z120" s="10"/>
      <c r="AA120" s="10"/>
      <c r="AB120" s="10"/>
      <c r="AC120" s="10"/>
      <c r="AD120" s="10"/>
      <c r="AE120" s="10"/>
      <c r="AF120" s="10"/>
      <c r="AG120" s="10"/>
      <c r="AH120" s="10"/>
      <c r="AI120" s="10"/>
      <c r="AJ120" s="10"/>
      <c r="AK120" s="10"/>
      <c r="AL120" s="10"/>
      <c r="AM120" s="10"/>
      <c r="AN120" s="10"/>
      <c r="AO120" s="10"/>
      <c r="AP120" s="10"/>
      <c r="AQ120" s="10"/>
      <c r="AR120" s="10"/>
      <c r="AS120" s="10"/>
      <c r="AT120" s="10"/>
      <c r="AU120" s="10"/>
      <c r="AV120" s="10"/>
      <c r="AW120" s="10"/>
      <c r="AX120" s="10"/>
      <c r="AY120" s="10"/>
      <c r="AZ120" s="10"/>
      <c r="BA120" s="10"/>
      <c r="BB120" s="10"/>
      <c r="BC120" s="10"/>
      <c r="BD120" s="10"/>
      <c r="BE120" s="10"/>
      <c r="BF120" s="10"/>
      <c r="BG120" s="10"/>
      <c r="BH120" s="10"/>
    </row>
    <row r="121" spans="1:60" x14ac:dyDescent="0.2">
      <c r="A121" s="10"/>
      <c r="B121" s="10"/>
      <c r="C121" s="10"/>
      <c r="D121" s="10"/>
      <c r="E121" s="10"/>
      <c r="F121" s="10"/>
      <c r="G121" s="10"/>
      <c r="H121" s="10"/>
      <c r="I121" s="10"/>
      <c r="J121" s="10"/>
      <c r="K121" s="10"/>
      <c r="L121" s="10"/>
      <c r="M121" s="10"/>
      <c r="N121" s="10"/>
      <c r="O121" s="10"/>
      <c r="P121" s="10"/>
      <c r="Q121" s="10"/>
      <c r="R121" s="10"/>
      <c r="S121" s="10"/>
      <c r="T121" s="10"/>
      <c r="U121" s="10"/>
      <c r="V121" s="10"/>
      <c r="W121" s="10"/>
      <c r="X121" s="10"/>
      <c r="Y121" s="10"/>
      <c r="Z121" s="10"/>
      <c r="AA121" s="10"/>
      <c r="AB121" s="10"/>
      <c r="AC121" s="10"/>
      <c r="AD121" s="10"/>
      <c r="AE121" s="10"/>
      <c r="AF121" s="10"/>
      <c r="AG121" s="10"/>
      <c r="AH121" s="10"/>
      <c r="AI121" s="10"/>
      <c r="AJ121" s="10"/>
      <c r="AK121" s="10"/>
      <c r="AL121" s="10"/>
      <c r="AM121" s="10"/>
      <c r="AN121" s="10"/>
      <c r="AO121" s="10"/>
      <c r="AP121" s="10"/>
      <c r="AQ121" s="10"/>
      <c r="AR121" s="10"/>
      <c r="AS121" s="10"/>
      <c r="AT121" s="10"/>
      <c r="AU121" s="10"/>
      <c r="AV121" s="10"/>
      <c r="AW121" s="10"/>
      <c r="AX121" s="10"/>
      <c r="AY121" s="10"/>
      <c r="AZ121" s="10"/>
      <c r="BA121" s="10"/>
      <c r="BB121" s="10"/>
      <c r="BC121" s="10"/>
      <c r="BD121" s="10"/>
      <c r="BE121" s="10"/>
      <c r="BF121" s="10"/>
      <c r="BG121" s="10"/>
      <c r="BH121" s="10"/>
    </row>
    <row r="122" spans="1:60" x14ac:dyDescent="0.2">
      <c r="A122" s="10"/>
      <c r="B122" s="10"/>
      <c r="C122" s="10"/>
      <c r="D122" s="10"/>
      <c r="E122" s="10"/>
      <c r="F122" s="10"/>
      <c r="G122" s="10"/>
      <c r="H122" s="10"/>
      <c r="I122" s="10"/>
      <c r="J122" s="10"/>
      <c r="K122" s="10"/>
      <c r="L122" s="10"/>
      <c r="M122" s="10"/>
      <c r="N122" s="10"/>
      <c r="O122" s="10"/>
      <c r="P122" s="10"/>
      <c r="Q122" s="10"/>
      <c r="R122" s="10"/>
      <c r="S122" s="10"/>
      <c r="T122" s="10"/>
      <c r="U122" s="10"/>
      <c r="V122" s="10"/>
      <c r="W122" s="10"/>
      <c r="X122" s="10"/>
      <c r="Y122" s="10"/>
      <c r="Z122" s="10"/>
      <c r="AA122" s="10"/>
      <c r="AB122" s="10"/>
      <c r="AC122" s="10"/>
      <c r="AD122" s="10"/>
      <c r="AE122" s="10"/>
      <c r="AF122" s="10"/>
      <c r="AG122" s="10"/>
      <c r="AH122" s="10"/>
      <c r="AI122" s="10"/>
      <c r="AJ122" s="10"/>
      <c r="AK122" s="10"/>
      <c r="AL122" s="10"/>
      <c r="AM122" s="10"/>
      <c r="AN122" s="10"/>
      <c r="AO122" s="10"/>
      <c r="AP122" s="10"/>
      <c r="AQ122" s="10"/>
      <c r="AR122" s="10"/>
      <c r="AS122" s="10"/>
      <c r="AT122" s="10"/>
      <c r="AU122" s="10"/>
      <c r="AV122" s="10"/>
      <c r="AW122" s="10"/>
      <c r="AX122" s="10"/>
      <c r="AY122" s="10"/>
      <c r="AZ122" s="10"/>
      <c r="BA122" s="10"/>
      <c r="BB122" s="10"/>
      <c r="BC122" s="10"/>
      <c r="BD122" s="10"/>
      <c r="BE122" s="10"/>
      <c r="BF122" s="10"/>
      <c r="BG122" s="10"/>
      <c r="BH122" s="10"/>
    </row>
    <row r="123" spans="1:60" x14ac:dyDescent="0.2">
      <c r="A123" s="10"/>
      <c r="B123" s="10"/>
      <c r="C123" s="10"/>
      <c r="D123" s="10"/>
      <c r="E123" s="10"/>
      <c r="F123" s="10"/>
      <c r="G123" s="10"/>
      <c r="H123" s="10"/>
      <c r="I123" s="10"/>
      <c r="J123" s="10"/>
      <c r="K123" s="10"/>
      <c r="L123" s="10"/>
      <c r="M123" s="10"/>
      <c r="N123" s="10"/>
      <c r="O123" s="10"/>
      <c r="P123" s="10"/>
      <c r="Q123" s="10"/>
      <c r="R123" s="10"/>
      <c r="S123" s="10"/>
      <c r="T123" s="10"/>
      <c r="U123" s="10"/>
      <c r="V123" s="10"/>
      <c r="W123" s="10"/>
      <c r="X123" s="10"/>
      <c r="Y123" s="10"/>
      <c r="Z123" s="10"/>
      <c r="AA123" s="10"/>
      <c r="AB123" s="10"/>
      <c r="AC123" s="10"/>
      <c r="AD123" s="10"/>
      <c r="AE123" s="10"/>
      <c r="AF123" s="10"/>
      <c r="AG123" s="10"/>
      <c r="AH123" s="10"/>
      <c r="AI123" s="10"/>
      <c r="AJ123" s="10"/>
      <c r="AK123" s="10"/>
      <c r="AL123" s="10"/>
      <c r="AM123" s="10"/>
      <c r="AN123" s="10"/>
      <c r="AO123" s="10"/>
      <c r="AP123" s="10"/>
      <c r="AQ123" s="10"/>
      <c r="AR123" s="10"/>
      <c r="AS123" s="10"/>
      <c r="AT123" s="10"/>
      <c r="AU123" s="10"/>
      <c r="AV123" s="10"/>
      <c r="AW123" s="10"/>
      <c r="AX123" s="10"/>
      <c r="AY123" s="10"/>
      <c r="AZ123" s="10"/>
      <c r="BA123" s="10"/>
      <c r="BB123" s="10"/>
      <c r="BC123" s="10"/>
      <c r="BD123" s="10"/>
      <c r="BE123" s="10"/>
      <c r="BF123" s="10"/>
      <c r="BG123" s="10"/>
      <c r="BH123" s="10"/>
    </row>
    <row r="124" spans="1:60" x14ac:dyDescent="0.2">
      <c r="A124" s="10"/>
      <c r="B124" s="10"/>
      <c r="C124" s="10"/>
      <c r="D124" s="10"/>
      <c r="E124" s="10"/>
      <c r="F124" s="10"/>
      <c r="G124" s="10"/>
      <c r="H124" s="10"/>
      <c r="I124" s="10"/>
      <c r="J124" s="10"/>
      <c r="K124" s="10"/>
      <c r="L124" s="10"/>
      <c r="M124" s="10"/>
      <c r="N124" s="10"/>
      <c r="O124" s="10"/>
      <c r="P124" s="10"/>
      <c r="Q124" s="10"/>
      <c r="R124" s="10"/>
      <c r="S124" s="10"/>
      <c r="T124" s="10"/>
      <c r="U124" s="10"/>
      <c r="V124" s="10"/>
      <c r="W124" s="10"/>
      <c r="X124" s="10"/>
      <c r="Y124" s="10"/>
      <c r="Z124" s="10"/>
      <c r="AA124" s="10"/>
      <c r="AB124" s="10"/>
      <c r="AC124" s="10"/>
      <c r="AD124" s="10"/>
      <c r="AE124" s="10"/>
      <c r="AF124" s="10"/>
      <c r="AG124" s="10"/>
      <c r="AH124" s="10"/>
      <c r="AI124" s="10"/>
      <c r="AJ124" s="10"/>
      <c r="AK124" s="10"/>
      <c r="AL124" s="10"/>
      <c r="AM124" s="10"/>
      <c r="AN124" s="10"/>
      <c r="AO124" s="10"/>
      <c r="AP124" s="10"/>
      <c r="AQ124" s="10"/>
      <c r="AR124" s="10"/>
      <c r="AS124" s="10"/>
      <c r="AT124" s="10"/>
      <c r="AU124" s="10"/>
      <c r="AV124" s="10"/>
      <c r="AW124" s="10"/>
      <c r="AX124" s="10"/>
      <c r="AY124" s="10"/>
      <c r="AZ124" s="10"/>
      <c r="BA124" s="10"/>
      <c r="BB124" s="10"/>
      <c r="BC124" s="10"/>
      <c r="BD124" s="10"/>
      <c r="BE124" s="10"/>
      <c r="BF124" s="10"/>
      <c r="BG124" s="10"/>
      <c r="BH124" s="10"/>
    </row>
    <row r="125" spans="1:60" x14ac:dyDescent="0.2">
      <c r="A125" s="10"/>
      <c r="B125" s="10"/>
      <c r="C125" s="10"/>
      <c r="D125" s="10"/>
      <c r="E125" s="10"/>
      <c r="F125" s="10"/>
      <c r="G125" s="10"/>
      <c r="H125" s="10"/>
      <c r="I125" s="10"/>
      <c r="J125" s="10"/>
      <c r="K125" s="10"/>
      <c r="L125" s="10"/>
      <c r="M125" s="10"/>
      <c r="N125" s="10"/>
      <c r="O125" s="10"/>
      <c r="P125" s="10"/>
      <c r="Q125" s="10"/>
      <c r="R125" s="10"/>
      <c r="S125" s="10"/>
      <c r="T125" s="10"/>
      <c r="U125" s="10"/>
      <c r="V125" s="10"/>
      <c r="W125" s="10"/>
      <c r="X125" s="10"/>
      <c r="Y125" s="10"/>
      <c r="Z125" s="10"/>
      <c r="AA125" s="10"/>
      <c r="AB125" s="10"/>
      <c r="AC125" s="10"/>
      <c r="AD125" s="10"/>
      <c r="AE125" s="10"/>
      <c r="AF125" s="10"/>
      <c r="AG125" s="10"/>
      <c r="AH125" s="10"/>
      <c r="AI125" s="10"/>
      <c r="AJ125" s="10"/>
      <c r="AK125" s="10"/>
      <c r="AL125" s="10"/>
      <c r="AM125" s="10"/>
      <c r="AN125" s="10"/>
      <c r="AO125" s="10"/>
      <c r="AP125" s="10"/>
      <c r="AQ125" s="10"/>
      <c r="AR125" s="10"/>
      <c r="AS125" s="10"/>
      <c r="AT125" s="10"/>
      <c r="AU125" s="10"/>
      <c r="AV125" s="10"/>
      <c r="AW125" s="10"/>
      <c r="AX125" s="10"/>
      <c r="AY125" s="10"/>
      <c r="AZ125" s="10"/>
      <c r="BA125" s="10"/>
      <c r="BB125" s="10"/>
      <c r="BC125" s="10"/>
      <c r="BD125" s="10"/>
      <c r="BE125" s="10"/>
      <c r="BF125" s="10"/>
      <c r="BG125" s="10"/>
      <c r="BH125" s="10"/>
    </row>
    <row r="126" spans="1:60" x14ac:dyDescent="0.2">
      <c r="A126" s="10"/>
      <c r="B126" s="10"/>
      <c r="C126" s="10"/>
      <c r="D126" s="10"/>
      <c r="E126" s="10"/>
      <c r="F126" s="10"/>
      <c r="G126" s="10"/>
      <c r="H126" s="10"/>
      <c r="I126" s="10"/>
      <c r="J126" s="10"/>
      <c r="K126" s="10"/>
      <c r="L126" s="10"/>
      <c r="M126" s="10"/>
      <c r="N126" s="10"/>
      <c r="O126" s="10"/>
      <c r="P126" s="10"/>
      <c r="Q126" s="10"/>
      <c r="R126" s="10"/>
      <c r="S126" s="10"/>
      <c r="T126" s="10"/>
      <c r="U126" s="10"/>
      <c r="V126" s="10"/>
      <c r="W126" s="10"/>
      <c r="X126" s="10"/>
      <c r="Y126" s="10"/>
      <c r="Z126" s="10"/>
      <c r="AA126" s="10"/>
      <c r="AB126" s="10"/>
      <c r="AC126" s="10"/>
      <c r="AD126" s="10"/>
      <c r="AE126" s="10"/>
      <c r="AF126" s="10"/>
      <c r="AG126" s="10"/>
      <c r="AH126" s="10"/>
      <c r="AI126" s="10"/>
      <c r="AJ126" s="10"/>
      <c r="AK126" s="10"/>
      <c r="AL126" s="10"/>
      <c r="AM126" s="10"/>
      <c r="AN126" s="10"/>
      <c r="AO126" s="10"/>
      <c r="AP126" s="10"/>
      <c r="AQ126" s="10"/>
      <c r="AR126" s="10"/>
      <c r="AS126" s="10"/>
      <c r="AT126" s="10"/>
      <c r="AU126" s="10"/>
      <c r="AV126" s="10"/>
      <c r="AW126" s="10"/>
      <c r="AX126" s="10"/>
      <c r="AY126" s="10"/>
      <c r="AZ126" s="10"/>
      <c r="BA126" s="10"/>
      <c r="BB126" s="10"/>
      <c r="BC126" s="10"/>
      <c r="BD126" s="10"/>
      <c r="BE126" s="10"/>
      <c r="BF126" s="10"/>
      <c r="BG126" s="10"/>
      <c r="BH126" s="10"/>
    </row>
    <row r="127" spans="1:60" x14ac:dyDescent="0.2">
      <c r="A127" s="10"/>
      <c r="B127" s="10"/>
      <c r="C127" s="10"/>
      <c r="D127" s="10"/>
      <c r="E127" s="10"/>
      <c r="F127" s="10"/>
      <c r="G127" s="10"/>
      <c r="H127" s="10"/>
      <c r="I127" s="10"/>
      <c r="J127" s="10"/>
      <c r="K127" s="10"/>
      <c r="L127" s="10"/>
      <c r="M127" s="10"/>
      <c r="N127" s="10"/>
      <c r="O127" s="10"/>
      <c r="P127" s="10"/>
      <c r="Q127" s="10"/>
      <c r="R127" s="10"/>
      <c r="S127" s="10"/>
      <c r="T127" s="10"/>
      <c r="U127" s="10"/>
      <c r="V127" s="10"/>
      <c r="W127" s="10"/>
      <c r="X127" s="10"/>
      <c r="Y127" s="10"/>
      <c r="Z127" s="10"/>
      <c r="AA127" s="10"/>
      <c r="AB127" s="10"/>
      <c r="AC127" s="10"/>
      <c r="AD127" s="10"/>
      <c r="AE127" s="10"/>
      <c r="AF127" s="10"/>
      <c r="AG127" s="10"/>
      <c r="AH127" s="10"/>
      <c r="AI127" s="10"/>
      <c r="AJ127" s="10"/>
      <c r="AK127" s="10"/>
      <c r="AL127" s="10"/>
      <c r="AM127" s="10"/>
      <c r="AN127" s="10"/>
      <c r="AO127" s="10"/>
      <c r="AP127" s="10"/>
      <c r="AQ127" s="10"/>
      <c r="AR127" s="10"/>
      <c r="AS127" s="10"/>
      <c r="AT127" s="10"/>
      <c r="AU127" s="10"/>
      <c r="AV127" s="10"/>
      <c r="AW127" s="10"/>
      <c r="AX127" s="10"/>
      <c r="AY127" s="10"/>
      <c r="AZ127" s="10"/>
      <c r="BA127" s="10"/>
      <c r="BB127" s="10"/>
      <c r="BC127" s="10"/>
      <c r="BD127" s="10"/>
      <c r="BE127" s="10"/>
      <c r="BF127" s="10"/>
      <c r="BG127" s="10"/>
      <c r="BH127" s="10"/>
    </row>
    <row r="128" spans="1:60" x14ac:dyDescent="0.2">
      <c r="A128" s="10"/>
      <c r="B128" s="10"/>
      <c r="C128" s="10"/>
      <c r="D128" s="10"/>
      <c r="E128" s="10"/>
      <c r="F128" s="10"/>
      <c r="G128" s="10"/>
      <c r="H128" s="10"/>
      <c r="I128" s="10"/>
      <c r="J128" s="10"/>
      <c r="K128" s="10"/>
      <c r="L128" s="10"/>
      <c r="M128" s="10"/>
      <c r="N128" s="10"/>
      <c r="O128" s="10"/>
      <c r="P128" s="10"/>
      <c r="Q128" s="10"/>
      <c r="R128" s="10"/>
      <c r="S128" s="10"/>
      <c r="T128" s="10"/>
      <c r="U128" s="10"/>
      <c r="V128" s="10"/>
      <c r="W128" s="10"/>
      <c r="X128" s="10"/>
      <c r="Y128" s="10"/>
      <c r="Z128" s="10"/>
      <c r="AA128" s="10"/>
      <c r="AB128" s="10"/>
      <c r="AC128" s="10"/>
      <c r="AD128" s="10"/>
      <c r="AE128" s="10"/>
      <c r="AF128" s="10"/>
      <c r="AG128" s="10"/>
      <c r="AH128" s="10"/>
      <c r="AI128" s="10"/>
      <c r="AJ128" s="10"/>
      <c r="AK128" s="10"/>
      <c r="AL128" s="10"/>
      <c r="AM128" s="10"/>
      <c r="AN128" s="10"/>
      <c r="AO128" s="10"/>
      <c r="AP128" s="10"/>
      <c r="AQ128" s="10"/>
      <c r="AR128" s="10"/>
      <c r="AS128" s="10"/>
      <c r="AT128" s="10"/>
      <c r="AU128" s="10"/>
      <c r="AV128" s="10"/>
      <c r="AW128" s="10"/>
      <c r="AX128" s="10"/>
      <c r="AY128" s="10"/>
      <c r="AZ128" s="10"/>
      <c r="BA128" s="10"/>
      <c r="BB128" s="10"/>
      <c r="BC128" s="10"/>
      <c r="BD128" s="10"/>
      <c r="BE128" s="10"/>
      <c r="BF128" s="10"/>
      <c r="BG128" s="10"/>
      <c r="BH128" s="10"/>
    </row>
    <row r="129" spans="1:60" x14ac:dyDescent="0.2">
      <c r="A129" s="10"/>
      <c r="B129" s="10"/>
      <c r="C129" s="10"/>
      <c r="D129" s="10"/>
      <c r="E129" s="10"/>
      <c r="F129" s="10"/>
      <c r="G129" s="10"/>
      <c r="H129" s="10"/>
      <c r="I129" s="10"/>
      <c r="J129" s="10"/>
      <c r="K129" s="10"/>
      <c r="L129" s="10"/>
      <c r="M129" s="10"/>
      <c r="N129" s="10"/>
      <c r="O129" s="10"/>
      <c r="P129" s="10"/>
      <c r="Q129" s="10"/>
      <c r="R129" s="10"/>
      <c r="S129" s="10"/>
      <c r="T129" s="10"/>
      <c r="U129" s="10"/>
      <c r="V129" s="10"/>
      <c r="W129" s="10"/>
      <c r="X129" s="10"/>
      <c r="Y129" s="10"/>
      <c r="Z129" s="10"/>
      <c r="AA129" s="10"/>
      <c r="AB129" s="10"/>
      <c r="AC129" s="10"/>
      <c r="AD129" s="10"/>
      <c r="AE129" s="10"/>
      <c r="AF129" s="10"/>
      <c r="AG129" s="10"/>
      <c r="AH129" s="10"/>
      <c r="AI129" s="10"/>
      <c r="AJ129" s="10"/>
      <c r="AK129" s="10"/>
      <c r="AL129" s="10"/>
      <c r="AM129" s="10"/>
      <c r="AN129" s="10"/>
      <c r="AO129" s="10"/>
      <c r="AP129" s="10"/>
      <c r="AQ129" s="10"/>
      <c r="AR129" s="10"/>
      <c r="AS129" s="10"/>
      <c r="AT129" s="10"/>
      <c r="AU129" s="10"/>
      <c r="AV129" s="10"/>
      <c r="AW129" s="10"/>
      <c r="AX129" s="10"/>
      <c r="AY129" s="10"/>
      <c r="AZ129" s="10"/>
      <c r="BA129" s="10"/>
      <c r="BB129" s="10"/>
      <c r="BC129" s="10"/>
      <c r="BD129" s="10"/>
      <c r="BE129" s="10"/>
      <c r="BF129" s="10"/>
      <c r="BG129" s="10"/>
      <c r="BH129" s="10"/>
    </row>
    <row r="130" spans="1:60" x14ac:dyDescent="0.2">
      <c r="A130" s="10"/>
      <c r="B130" s="10"/>
      <c r="C130" s="10"/>
      <c r="D130" s="10"/>
      <c r="E130" s="10"/>
      <c r="F130" s="10"/>
      <c r="G130" s="10"/>
      <c r="H130" s="10"/>
      <c r="I130" s="10"/>
      <c r="J130" s="10"/>
      <c r="K130" s="10"/>
      <c r="L130" s="10"/>
      <c r="M130" s="10"/>
      <c r="N130" s="10"/>
      <c r="O130" s="10"/>
      <c r="P130" s="10"/>
      <c r="Q130" s="10"/>
      <c r="R130" s="10"/>
      <c r="S130" s="10"/>
      <c r="T130" s="10"/>
      <c r="U130" s="10"/>
      <c r="V130" s="10"/>
      <c r="W130" s="10"/>
      <c r="X130" s="10"/>
      <c r="Y130" s="10"/>
      <c r="Z130" s="10"/>
      <c r="AA130" s="10"/>
      <c r="AB130" s="10"/>
      <c r="AC130" s="10"/>
      <c r="AD130" s="10"/>
      <c r="AE130" s="10"/>
      <c r="AF130" s="10"/>
      <c r="AG130" s="10"/>
      <c r="AH130" s="10"/>
      <c r="AI130" s="10"/>
      <c r="AJ130" s="10"/>
      <c r="AK130" s="10"/>
      <c r="AL130" s="10"/>
      <c r="AM130" s="10"/>
      <c r="AN130" s="10"/>
      <c r="AO130" s="10"/>
      <c r="AP130" s="10"/>
      <c r="AQ130" s="10"/>
      <c r="AR130" s="10"/>
      <c r="AS130" s="10"/>
      <c r="AT130" s="10"/>
      <c r="AU130" s="10"/>
      <c r="AV130" s="10"/>
      <c r="AW130" s="10"/>
      <c r="AX130" s="10"/>
      <c r="AY130" s="10"/>
      <c r="AZ130" s="10"/>
      <c r="BA130" s="10"/>
      <c r="BB130" s="10"/>
      <c r="BC130" s="10"/>
      <c r="BD130" s="10"/>
      <c r="BE130" s="10"/>
      <c r="BF130" s="10"/>
      <c r="BG130" s="10"/>
      <c r="BH130" s="10"/>
    </row>
    <row r="131" spans="1:60" x14ac:dyDescent="0.2">
      <c r="A131" s="10"/>
      <c r="B131" s="10"/>
      <c r="C131" s="10"/>
      <c r="D131" s="10"/>
      <c r="E131" s="10"/>
      <c r="F131" s="10"/>
      <c r="G131" s="10"/>
      <c r="H131" s="10"/>
      <c r="I131" s="10"/>
      <c r="J131" s="10"/>
      <c r="K131" s="10"/>
      <c r="L131" s="10"/>
      <c r="M131" s="10"/>
      <c r="N131" s="10"/>
      <c r="O131" s="10"/>
      <c r="P131" s="10"/>
      <c r="Q131" s="10"/>
      <c r="R131" s="10"/>
      <c r="S131" s="10"/>
      <c r="T131" s="10"/>
      <c r="U131" s="10"/>
      <c r="V131" s="10"/>
      <c r="W131" s="10"/>
      <c r="X131" s="10"/>
      <c r="Y131" s="10"/>
      <c r="Z131" s="10"/>
      <c r="AA131" s="10"/>
      <c r="AB131" s="10"/>
      <c r="AC131" s="10"/>
      <c r="AD131" s="10"/>
      <c r="AE131" s="10"/>
      <c r="AF131" s="10"/>
      <c r="AG131" s="10"/>
      <c r="AH131" s="10"/>
      <c r="AI131" s="10"/>
      <c r="AJ131" s="10"/>
      <c r="AK131" s="10"/>
      <c r="AL131" s="10"/>
      <c r="AM131" s="10"/>
      <c r="AN131" s="10"/>
      <c r="AO131" s="10"/>
      <c r="AP131" s="10"/>
      <c r="AQ131" s="10"/>
      <c r="AR131" s="10"/>
      <c r="AS131" s="10"/>
      <c r="AT131" s="10"/>
      <c r="AU131" s="10"/>
      <c r="AV131" s="10"/>
      <c r="AW131" s="10"/>
      <c r="AX131" s="10"/>
      <c r="AY131" s="10"/>
      <c r="AZ131" s="10"/>
      <c r="BA131" s="10"/>
      <c r="BB131" s="10"/>
      <c r="BC131" s="10"/>
      <c r="BD131" s="10"/>
      <c r="BE131" s="10"/>
      <c r="BF131" s="10"/>
      <c r="BG131" s="10"/>
      <c r="BH131" s="10"/>
    </row>
    <row r="132" spans="1:60" x14ac:dyDescent="0.2">
      <c r="A132" s="10"/>
      <c r="B132" s="10"/>
      <c r="C132" s="10"/>
      <c r="D132" s="10"/>
      <c r="E132" s="10"/>
      <c r="F132" s="10"/>
      <c r="G132" s="10"/>
      <c r="H132" s="10"/>
      <c r="I132" s="10"/>
      <c r="J132" s="10"/>
      <c r="K132" s="10"/>
      <c r="L132" s="10"/>
      <c r="M132" s="10"/>
      <c r="N132" s="10"/>
      <c r="O132" s="10"/>
      <c r="P132" s="10"/>
      <c r="Q132" s="10"/>
      <c r="R132" s="10"/>
      <c r="S132" s="10"/>
      <c r="T132" s="10"/>
      <c r="U132" s="10"/>
      <c r="V132" s="10"/>
      <c r="W132" s="10"/>
      <c r="X132" s="10"/>
      <c r="Y132" s="10"/>
      <c r="Z132" s="10"/>
      <c r="AA132" s="10"/>
      <c r="AB132" s="10"/>
      <c r="AC132" s="10"/>
      <c r="AD132" s="10"/>
      <c r="AE132" s="10"/>
      <c r="AF132" s="10"/>
      <c r="AG132" s="10"/>
      <c r="AH132" s="10"/>
      <c r="AI132" s="10"/>
      <c r="AJ132" s="10"/>
      <c r="AK132" s="10"/>
      <c r="AL132" s="10"/>
      <c r="AM132" s="10"/>
      <c r="AN132" s="10"/>
      <c r="AO132" s="10"/>
      <c r="AP132" s="10"/>
      <c r="AQ132" s="10"/>
      <c r="AR132" s="10"/>
      <c r="AS132" s="10"/>
      <c r="AT132" s="10"/>
      <c r="AU132" s="10"/>
      <c r="AV132" s="10"/>
      <c r="AW132" s="10"/>
      <c r="AX132" s="10"/>
      <c r="AY132" s="10"/>
      <c r="AZ132" s="10"/>
      <c r="BA132" s="10"/>
      <c r="BB132" s="10"/>
      <c r="BC132" s="10"/>
      <c r="BD132" s="10"/>
      <c r="BE132" s="10"/>
      <c r="BF132" s="10"/>
      <c r="BG132" s="10"/>
      <c r="BH132" s="10"/>
    </row>
    <row r="133" spans="1:60" x14ac:dyDescent="0.2">
      <c r="A133" s="10"/>
      <c r="B133" s="10"/>
      <c r="C133" s="10"/>
      <c r="D133" s="10"/>
      <c r="E133" s="10"/>
      <c r="F133" s="10"/>
      <c r="G133" s="10"/>
      <c r="H133" s="10"/>
      <c r="I133" s="10"/>
      <c r="J133" s="10"/>
      <c r="K133" s="10"/>
      <c r="L133" s="10"/>
      <c r="M133" s="10"/>
      <c r="N133" s="10"/>
      <c r="O133" s="10"/>
      <c r="P133" s="10"/>
      <c r="Q133" s="10"/>
      <c r="R133" s="10"/>
      <c r="S133" s="10"/>
      <c r="T133" s="10"/>
      <c r="U133" s="10"/>
      <c r="V133" s="10"/>
      <c r="W133" s="10"/>
      <c r="X133" s="10"/>
      <c r="Y133" s="10"/>
      <c r="Z133" s="10"/>
      <c r="AA133" s="10"/>
      <c r="AB133" s="10"/>
      <c r="AC133" s="10"/>
      <c r="AD133" s="10"/>
      <c r="AE133" s="10"/>
      <c r="AF133" s="10"/>
      <c r="AG133" s="10"/>
      <c r="AH133" s="10"/>
      <c r="AI133" s="10"/>
      <c r="AJ133" s="10"/>
      <c r="AK133" s="10"/>
      <c r="AL133" s="10"/>
      <c r="AM133" s="10"/>
      <c r="AN133" s="10"/>
      <c r="AO133" s="10"/>
      <c r="AP133" s="10"/>
      <c r="AQ133" s="10"/>
      <c r="AR133" s="10"/>
      <c r="AS133" s="10"/>
      <c r="AT133" s="10"/>
      <c r="AU133" s="10"/>
      <c r="AV133" s="10"/>
      <c r="AW133" s="10"/>
      <c r="AX133" s="10"/>
      <c r="AY133" s="10"/>
      <c r="AZ133" s="10"/>
      <c r="BA133" s="10"/>
      <c r="BB133" s="10"/>
      <c r="BC133" s="10"/>
      <c r="BD133" s="10"/>
      <c r="BE133" s="10"/>
      <c r="BF133" s="10"/>
      <c r="BG133" s="10"/>
      <c r="BH133" s="10"/>
    </row>
    <row r="134" spans="1:60" x14ac:dyDescent="0.2">
      <c r="A134" s="10"/>
      <c r="B134" s="10"/>
      <c r="C134" s="10"/>
      <c r="D134" s="10"/>
      <c r="E134" s="10"/>
      <c r="F134" s="10"/>
      <c r="G134" s="10"/>
      <c r="H134" s="10"/>
      <c r="I134" s="10"/>
      <c r="J134" s="10"/>
      <c r="K134" s="10"/>
      <c r="L134" s="10"/>
      <c r="M134" s="10"/>
      <c r="N134" s="10"/>
      <c r="O134" s="10"/>
      <c r="P134" s="10"/>
      <c r="Q134" s="10"/>
      <c r="R134" s="10"/>
      <c r="S134" s="10"/>
      <c r="T134" s="10"/>
      <c r="U134" s="10"/>
      <c r="V134" s="10"/>
      <c r="W134" s="10"/>
      <c r="X134" s="10"/>
      <c r="Y134" s="10"/>
      <c r="Z134" s="10"/>
      <c r="AA134" s="10"/>
      <c r="AB134" s="10"/>
      <c r="AC134" s="10"/>
      <c r="AD134" s="10"/>
      <c r="AE134" s="10"/>
      <c r="AF134" s="10"/>
      <c r="AG134" s="10"/>
      <c r="AH134" s="10"/>
      <c r="AI134" s="10"/>
      <c r="AJ134" s="10"/>
      <c r="AK134" s="10"/>
      <c r="AL134" s="10"/>
      <c r="AM134" s="10"/>
      <c r="AN134" s="10"/>
      <c r="AO134" s="10"/>
      <c r="AP134" s="10"/>
      <c r="AQ134" s="10"/>
      <c r="AR134" s="10"/>
      <c r="AS134" s="10"/>
      <c r="AT134" s="10"/>
      <c r="AU134" s="10"/>
      <c r="AV134" s="10"/>
      <c r="AW134" s="10"/>
      <c r="AX134" s="10"/>
      <c r="AY134" s="10"/>
      <c r="AZ134" s="10"/>
      <c r="BA134" s="10"/>
      <c r="BB134" s="10"/>
      <c r="BC134" s="10"/>
      <c r="BD134" s="10"/>
      <c r="BE134" s="10"/>
      <c r="BF134" s="10"/>
      <c r="BG134" s="10"/>
      <c r="BH134" s="10"/>
    </row>
    <row r="135" spans="1:60" x14ac:dyDescent="0.2">
      <c r="A135" s="10"/>
      <c r="B135" s="10"/>
      <c r="C135" s="10"/>
      <c r="D135" s="10"/>
      <c r="E135" s="10"/>
      <c r="F135" s="10"/>
      <c r="G135" s="10"/>
      <c r="H135" s="10"/>
      <c r="I135" s="10"/>
      <c r="J135" s="10"/>
      <c r="K135" s="10"/>
      <c r="L135" s="10"/>
      <c r="M135" s="10"/>
      <c r="N135" s="10"/>
      <c r="O135" s="10"/>
      <c r="P135" s="10"/>
      <c r="Q135" s="10"/>
      <c r="R135" s="10"/>
      <c r="S135" s="10"/>
      <c r="T135" s="10"/>
      <c r="U135" s="10"/>
      <c r="V135" s="10"/>
      <c r="W135" s="10"/>
      <c r="X135" s="10"/>
      <c r="Y135" s="10"/>
      <c r="Z135" s="10"/>
      <c r="AA135" s="10"/>
      <c r="AB135" s="10"/>
      <c r="AC135" s="10"/>
      <c r="AD135" s="10"/>
      <c r="AE135" s="10"/>
      <c r="AF135" s="10"/>
      <c r="AG135" s="10"/>
      <c r="AH135" s="10"/>
      <c r="AI135" s="10"/>
      <c r="AJ135" s="10"/>
      <c r="AK135" s="10"/>
      <c r="AL135" s="10"/>
      <c r="AM135" s="10"/>
      <c r="AN135" s="10"/>
      <c r="AO135" s="10"/>
      <c r="AP135" s="10"/>
      <c r="AQ135" s="10"/>
      <c r="AR135" s="10"/>
      <c r="AS135" s="10"/>
      <c r="AT135" s="10"/>
      <c r="AU135" s="10"/>
      <c r="AV135" s="10"/>
      <c r="AW135" s="10"/>
      <c r="AX135" s="10"/>
      <c r="AY135" s="10"/>
      <c r="AZ135" s="10"/>
      <c r="BA135" s="10"/>
      <c r="BB135" s="10"/>
      <c r="BC135" s="10"/>
      <c r="BD135" s="10"/>
      <c r="BE135" s="10"/>
      <c r="BF135" s="10"/>
      <c r="BG135" s="10"/>
      <c r="BH135" s="10"/>
    </row>
    <row r="136" spans="1:60" x14ac:dyDescent="0.2">
      <c r="A136" s="10"/>
      <c r="B136" s="10"/>
      <c r="C136" s="10"/>
      <c r="D136" s="10"/>
      <c r="E136" s="10"/>
      <c r="F136" s="10"/>
      <c r="G136" s="10"/>
      <c r="H136" s="10"/>
      <c r="I136" s="10"/>
      <c r="J136" s="10"/>
      <c r="K136" s="10"/>
      <c r="L136" s="10"/>
      <c r="M136" s="10"/>
      <c r="N136" s="10"/>
      <c r="O136" s="10"/>
      <c r="P136" s="10"/>
      <c r="Q136" s="10"/>
      <c r="R136" s="10"/>
      <c r="S136" s="10"/>
      <c r="T136" s="10"/>
      <c r="U136" s="10"/>
      <c r="V136" s="10"/>
      <c r="W136" s="10"/>
      <c r="X136" s="10"/>
      <c r="Y136" s="10"/>
      <c r="Z136" s="10"/>
      <c r="AA136" s="10"/>
      <c r="AB136" s="10"/>
      <c r="AC136" s="10"/>
      <c r="AD136" s="10"/>
      <c r="AE136" s="10"/>
      <c r="AF136" s="10"/>
      <c r="AG136" s="10"/>
      <c r="AH136" s="10"/>
      <c r="AI136" s="10"/>
      <c r="AJ136" s="10"/>
      <c r="AK136" s="10"/>
      <c r="AL136" s="10"/>
      <c r="AM136" s="10"/>
      <c r="AN136" s="10"/>
      <c r="AO136" s="10"/>
      <c r="AP136" s="10"/>
      <c r="AQ136" s="10"/>
      <c r="AR136" s="10"/>
      <c r="AS136" s="10"/>
      <c r="AT136" s="10"/>
      <c r="AU136" s="10"/>
      <c r="AV136" s="10"/>
      <c r="AW136" s="10"/>
      <c r="AX136" s="10"/>
      <c r="AY136" s="10"/>
      <c r="AZ136" s="10"/>
      <c r="BA136" s="10"/>
      <c r="BB136" s="10"/>
      <c r="BC136" s="10"/>
      <c r="BD136" s="10"/>
      <c r="BE136" s="10"/>
      <c r="BF136" s="10"/>
      <c r="BG136" s="10"/>
      <c r="BH136" s="10"/>
    </row>
    <row r="137" spans="1:60" x14ac:dyDescent="0.2">
      <c r="A137" s="10"/>
      <c r="B137" s="10"/>
      <c r="C137" s="10"/>
      <c r="D137" s="10"/>
      <c r="E137" s="10"/>
      <c r="F137" s="10"/>
      <c r="G137" s="10"/>
      <c r="H137" s="10"/>
      <c r="I137" s="10"/>
      <c r="J137" s="10"/>
      <c r="K137" s="10"/>
      <c r="L137" s="10"/>
      <c r="M137" s="10"/>
      <c r="N137" s="10"/>
      <c r="O137" s="10"/>
      <c r="P137" s="10"/>
      <c r="Q137" s="10"/>
      <c r="R137" s="10"/>
      <c r="S137" s="10"/>
      <c r="T137" s="10"/>
      <c r="U137" s="10"/>
      <c r="V137" s="10"/>
      <c r="W137" s="10"/>
      <c r="X137" s="10"/>
      <c r="Y137" s="10"/>
      <c r="Z137" s="10"/>
      <c r="AA137" s="10"/>
      <c r="AB137" s="10"/>
      <c r="AC137" s="10"/>
      <c r="AD137" s="10"/>
      <c r="AE137" s="10"/>
      <c r="AF137" s="10"/>
      <c r="AG137" s="10"/>
      <c r="AH137" s="10"/>
      <c r="AI137" s="10"/>
      <c r="AJ137" s="10"/>
      <c r="AK137" s="10"/>
      <c r="AL137" s="10"/>
      <c r="AM137" s="10"/>
      <c r="AN137" s="10"/>
      <c r="AO137" s="10"/>
      <c r="AP137" s="10"/>
      <c r="AQ137" s="10"/>
      <c r="AR137" s="10"/>
      <c r="AS137" s="10"/>
      <c r="AT137" s="10"/>
      <c r="AU137" s="10"/>
      <c r="AV137" s="10"/>
      <c r="AW137" s="10"/>
      <c r="AX137" s="10"/>
      <c r="AY137" s="10"/>
      <c r="AZ137" s="10"/>
      <c r="BA137" s="10"/>
      <c r="BB137" s="10"/>
      <c r="BC137" s="10"/>
      <c r="BD137" s="10"/>
      <c r="BE137" s="10"/>
      <c r="BF137" s="10"/>
      <c r="BG137" s="10"/>
      <c r="BH137" s="10"/>
    </row>
    <row r="138" spans="1:60" x14ac:dyDescent="0.2">
      <c r="A138" s="10"/>
      <c r="B138" s="10"/>
      <c r="C138" s="10"/>
      <c r="D138" s="10"/>
      <c r="E138" s="10"/>
      <c r="F138" s="10"/>
      <c r="G138" s="10"/>
      <c r="H138" s="10"/>
      <c r="I138" s="10"/>
      <c r="J138" s="10"/>
      <c r="K138" s="10"/>
      <c r="L138" s="10"/>
      <c r="M138" s="10"/>
      <c r="N138" s="10"/>
      <c r="O138" s="10"/>
      <c r="P138" s="10"/>
      <c r="Q138" s="10"/>
      <c r="R138" s="10"/>
      <c r="S138" s="10"/>
      <c r="T138" s="10"/>
      <c r="U138" s="10"/>
      <c r="V138" s="10"/>
      <c r="W138" s="10"/>
      <c r="X138" s="10"/>
      <c r="Y138" s="10"/>
      <c r="Z138" s="10"/>
      <c r="AA138" s="10"/>
      <c r="AB138" s="10"/>
      <c r="AC138" s="10"/>
      <c r="AD138" s="10"/>
      <c r="AE138" s="10"/>
      <c r="AF138" s="10"/>
      <c r="AG138" s="10"/>
      <c r="AH138" s="10"/>
      <c r="AI138" s="10"/>
      <c r="AJ138" s="10"/>
      <c r="AK138" s="10"/>
      <c r="AL138" s="10"/>
      <c r="AM138" s="10"/>
      <c r="AN138" s="10"/>
      <c r="AO138" s="10"/>
      <c r="AP138" s="10"/>
      <c r="AQ138" s="10"/>
      <c r="AR138" s="10"/>
      <c r="AS138" s="10"/>
      <c r="AT138" s="10"/>
      <c r="AU138" s="10"/>
      <c r="AV138" s="10"/>
      <c r="AW138" s="10"/>
      <c r="AX138" s="10"/>
      <c r="AY138" s="10"/>
      <c r="AZ138" s="10"/>
      <c r="BA138" s="10"/>
      <c r="BB138" s="10"/>
      <c r="BC138" s="10"/>
      <c r="BD138" s="10"/>
      <c r="BE138" s="10"/>
      <c r="BF138" s="10"/>
      <c r="BG138" s="10"/>
      <c r="BH138" s="10"/>
    </row>
    <row r="139" spans="1:60" x14ac:dyDescent="0.2">
      <c r="A139" s="10"/>
      <c r="B139" s="10"/>
      <c r="C139" s="10"/>
      <c r="D139" s="10"/>
      <c r="E139" s="10"/>
      <c r="F139" s="10"/>
      <c r="G139" s="10"/>
      <c r="H139" s="10"/>
      <c r="I139" s="10"/>
      <c r="J139" s="10"/>
      <c r="K139" s="10"/>
      <c r="L139" s="10"/>
      <c r="M139" s="10"/>
      <c r="N139" s="10"/>
      <c r="O139" s="10"/>
      <c r="P139" s="10"/>
      <c r="Q139" s="10"/>
      <c r="R139" s="10"/>
      <c r="S139" s="10"/>
      <c r="T139" s="10"/>
      <c r="U139" s="10"/>
      <c r="V139" s="10"/>
      <c r="W139" s="10"/>
      <c r="X139" s="10"/>
      <c r="Y139" s="10"/>
      <c r="Z139" s="10"/>
      <c r="AA139" s="10"/>
      <c r="AB139" s="10"/>
      <c r="AC139" s="10"/>
      <c r="AD139" s="10"/>
      <c r="AE139" s="10"/>
      <c r="AF139" s="10"/>
      <c r="AG139" s="10"/>
      <c r="AH139" s="10"/>
      <c r="AI139" s="10"/>
      <c r="AJ139" s="10"/>
      <c r="AK139" s="10"/>
      <c r="AL139" s="10"/>
      <c r="AM139" s="10"/>
      <c r="AN139" s="10"/>
      <c r="AO139" s="10"/>
      <c r="AP139" s="10"/>
      <c r="AQ139" s="10"/>
      <c r="AR139" s="10"/>
      <c r="AS139" s="10"/>
      <c r="AT139" s="10"/>
      <c r="AU139" s="10"/>
      <c r="AV139" s="10"/>
      <c r="AW139" s="10"/>
      <c r="AX139" s="10"/>
      <c r="AY139" s="10"/>
      <c r="AZ139" s="10"/>
      <c r="BA139" s="10"/>
      <c r="BB139" s="10"/>
      <c r="BC139" s="10"/>
      <c r="BD139" s="10"/>
      <c r="BE139" s="10"/>
      <c r="BF139" s="10"/>
      <c r="BG139" s="10"/>
      <c r="BH139" s="10"/>
    </row>
    <row r="140" spans="1:60" x14ac:dyDescent="0.2">
      <c r="A140" s="10"/>
      <c r="B140" s="10"/>
      <c r="C140" s="10"/>
      <c r="D140" s="10"/>
      <c r="E140" s="10"/>
      <c r="F140" s="10"/>
      <c r="G140" s="10"/>
      <c r="H140" s="10"/>
      <c r="I140" s="10"/>
      <c r="J140" s="10"/>
      <c r="K140" s="10"/>
      <c r="L140" s="10"/>
      <c r="M140" s="10"/>
      <c r="N140" s="10"/>
      <c r="O140" s="10"/>
      <c r="P140" s="10"/>
      <c r="Q140" s="10"/>
      <c r="R140" s="10"/>
      <c r="S140" s="10"/>
      <c r="T140" s="10"/>
      <c r="U140" s="10"/>
      <c r="V140" s="10"/>
      <c r="W140" s="10"/>
      <c r="X140" s="10"/>
      <c r="Y140" s="10"/>
      <c r="Z140" s="10"/>
      <c r="AA140" s="10"/>
      <c r="AB140" s="10"/>
      <c r="AC140" s="10"/>
      <c r="AD140" s="10"/>
      <c r="AE140" s="10"/>
      <c r="AF140" s="10"/>
      <c r="AG140" s="10"/>
      <c r="AH140" s="10"/>
      <c r="AI140" s="10"/>
      <c r="AJ140" s="10"/>
      <c r="AK140" s="10"/>
      <c r="AL140" s="10"/>
      <c r="AM140" s="10"/>
      <c r="AN140" s="10"/>
      <c r="AO140" s="10"/>
      <c r="AP140" s="10"/>
      <c r="AQ140" s="10"/>
      <c r="AR140" s="10"/>
      <c r="AS140" s="10"/>
      <c r="AT140" s="10"/>
      <c r="AU140" s="10"/>
      <c r="AV140" s="10"/>
      <c r="AW140" s="10"/>
      <c r="AX140" s="10"/>
      <c r="AY140" s="10"/>
      <c r="AZ140" s="10"/>
      <c r="BA140" s="10"/>
      <c r="BB140" s="10"/>
      <c r="BC140" s="10"/>
      <c r="BD140" s="10"/>
      <c r="BE140" s="10"/>
      <c r="BF140" s="10"/>
      <c r="BG140" s="10"/>
      <c r="BH140" s="10"/>
    </row>
    <row r="141" spans="1:60" x14ac:dyDescent="0.2">
      <c r="A141" s="10"/>
      <c r="B141" s="10"/>
      <c r="C141" s="10"/>
      <c r="D141" s="10"/>
      <c r="E141" s="10"/>
      <c r="F141" s="10"/>
      <c r="G141" s="10"/>
      <c r="H141" s="10"/>
      <c r="I141" s="10"/>
      <c r="J141" s="10"/>
      <c r="K141" s="10"/>
      <c r="L141" s="10"/>
      <c r="M141" s="10"/>
      <c r="N141" s="10"/>
      <c r="O141" s="10"/>
      <c r="P141" s="10"/>
      <c r="Q141" s="10"/>
      <c r="R141" s="10"/>
      <c r="S141" s="10"/>
      <c r="T141" s="10"/>
      <c r="U141" s="10"/>
      <c r="V141" s="10"/>
      <c r="W141" s="10"/>
      <c r="X141" s="10"/>
      <c r="Y141" s="10"/>
      <c r="Z141" s="10"/>
      <c r="AA141" s="10"/>
      <c r="AB141" s="10"/>
      <c r="AC141" s="10"/>
      <c r="AD141" s="10"/>
      <c r="AE141" s="10"/>
      <c r="AF141" s="10"/>
      <c r="AG141" s="10"/>
      <c r="AH141" s="10"/>
      <c r="AI141" s="10"/>
      <c r="AJ141" s="10"/>
      <c r="AK141" s="10"/>
      <c r="AL141" s="10"/>
      <c r="AM141" s="10"/>
      <c r="AN141" s="10"/>
      <c r="AO141" s="10"/>
      <c r="AP141" s="10"/>
      <c r="AQ141" s="10"/>
      <c r="AR141" s="10"/>
      <c r="AS141" s="10"/>
      <c r="AT141" s="10"/>
      <c r="AU141" s="10"/>
      <c r="AV141" s="10"/>
      <c r="AW141" s="10"/>
      <c r="AX141" s="10"/>
      <c r="AY141" s="10"/>
      <c r="AZ141" s="10"/>
      <c r="BA141" s="10"/>
      <c r="BB141" s="10"/>
      <c r="BC141" s="10"/>
      <c r="BD141" s="10"/>
      <c r="BE141" s="10"/>
      <c r="BF141" s="10"/>
      <c r="BG141" s="10"/>
      <c r="BH141" s="10"/>
    </row>
    <row r="142" spans="1:60" x14ac:dyDescent="0.2">
      <c r="A142" s="10"/>
      <c r="B142" s="10"/>
      <c r="C142" s="10"/>
      <c r="D142" s="10"/>
      <c r="E142" s="10"/>
      <c r="F142" s="10"/>
      <c r="G142" s="10"/>
      <c r="H142" s="10"/>
      <c r="I142" s="10"/>
      <c r="J142" s="10"/>
      <c r="K142" s="10"/>
      <c r="L142" s="10"/>
      <c r="M142" s="10"/>
      <c r="N142" s="10"/>
      <c r="O142" s="10"/>
      <c r="P142" s="10"/>
      <c r="Q142" s="10"/>
      <c r="R142" s="10"/>
      <c r="S142" s="10"/>
      <c r="T142" s="10"/>
      <c r="U142" s="10"/>
      <c r="V142" s="10"/>
      <c r="W142" s="10"/>
      <c r="X142" s="10"/>
      <c r="Y142" s="10"/>
      <c r="Z142" s="10"/>
      <c r="AA142" s="10"/>
      <c r="AB142" s="10"/>
      <c r="AC142" s="10"/>
      <c r="AD142" s="10"/>
      <c r="AE142" s="10"/>
      <c r="AF142" s="10"/>
      <c r="AG142" s="10"/>
      <c r="AH142" s="10"/>
      <c r="AI142" s="10"/>
      <c r="AJ142" s="10"/>
      <c r="AK142" s="10"/>
      <c r="AL142" s="10"/>
      <c r="AM142" s="10"/>
      <c r="AN142" s="10"/>
      <c r="AO142" s="10"/>
      <c r="AP142" s="10"/>
      <c r="AQ142" s="10"/>
      <c r="AR142" s="10"/>
      <c r="AS142" s="10"/>
      <c r="AT142" s="10"/>
      <c r="AU142" s="10"/>
      <c r="AV142" s="10"/>
      <c r="AW142" s="10"/>
      <c r="AX142" s="10"/>
      <c r="AY142" s="10"/>
      <c r="AZ142" s="10"/>
      <c r="BA142" s="10"/>
      <c r="BB142" s="10"/>
      <c r="BC142" s="10"/>
      <c r="BD142" s="10"/>
      <c r="BE142" s="10"/>
      <c r="BF142" s="10"/>
      <c r="BG142" s="10"/>
      <c r="BH142" s="10"/>
    </row>
    <row r="143" spans="1:60" x14ac:dyDescent="0.2">
      <c r="A143" s="10"/>
      <c r="B143" s="10"/>
      <c r="C143" s="10"/>
      <c r="D143" s="10"/>
      <c r="E143" s="10"/>
      <c r="F143" s="10"/>
      <c r="G143" s="10"/>
      <c r="H143" s="10"/>
      <c r="I143" s="10"/>
      <c r="J143" s="10"/>
      <c r="K143" s="10"/>
      <c r="L143" s="10"/>
      <c r="M143" s="10"/>
      <c r="N143" s="10"/>
      <c r="O143" s="10"/>
      <c r="P143" s="10"/>
      <c r="Q143" s="10"/>
      <c r="R143" s="10"/>
      <c r="S143" s="10"/>
      <c r="T143" s="10"/>
      <c r="U143" s="10"/>
      <c r="V143" s="10"/>
      <c r="W143" s="10"/>
      <c r="X143" s="10"/>
      <c r="Y143" s="10"/>
      <c r="Z143" s="10"/>
      <c r="AA143" s="10"/>
      <c r="AB143" s="10"/>
      <c r="AC143" s="10"/>
      <c r="AD143" s="10"/>
      <c r="AE143" s="10"/>
      <c r="AF143" s="10"/>
      <c r="AG143" s="10"/>
      <c r="AH143" s="10"/>
      <c r="AI143" s="10"/>
      <c r="AJ143" s="10"/>
      <c r="AK143" s="10"/>
      <c r="AL143" s="10"/>
      <c r="AM143" s="10"/>
      <c r="AN143" s="10"/>
      <c r="AO143" s="10"/>
      <c r="AP143" s="10"/>
      <c r="AQ143" s="10"/>
      <c r="AR143" s="10"/>
      <c r="AS143" s="10"/>
      <c r="AT143" s="10"/>
      <c r="AU143" s="10"/>
      <c r="AV143" s="10"/>
      <c r="AW143" s="10"/>
      <c r="AX143" s="10"/>
      <c r="AY143" s="10"/>
      <c r="AZ143" s="10"/>
      <c r="BA143" s="10"/>
      <c r="BB143" s="10"/>
      <c r="BC143" s="10"/>
      <c r="BD143" s="10"/>
      <c r="BE143" s="10"/>
      <c r="BF143" s="10"/>
      <c r="BG143" s="10"/>
      <c r="BH143" s="10"/>
    </row>
    <row r="144" spans="1:60" x14ac:dyDescent="0.2">
      <c r="A144" s="10"/>
      <c r="B144" s="10"/>
      <c r="C144" s="10"/>
      <c r="D144" s="10"/>
      <c r="E144" s="10"/>
      <c r="F144" s="10"/>
      <c r="G144" s="10"/>
      <c r="H144" s="10"/>
      <c r="I144" s="10"/>
      <c r="J144" s="10"/>
      <c r="K144" s="10"/>
      <c r="L144" s="10"/>
      <c r="M144" s="10"/>
      <c r="N144" s="10"/>
      <c r="O144" s="10"/>
      <c r="P144" s="10"/>
      <c r="Q144" s="10"/>
      <c r="R144" s="10"/>
      <c r="S144" s="10"/>
      <c r="T144" s="10"/>
      <c r="U144" s="10"/>
      <c r="V144" s="10"/>
      <c r="W144" s="10"/>
      <c r="X144" s="10"/>
      <c r="Y144" s="10"/>
      <c r="Z144" s="10"/>
      <c r="AA144" s="10"/>
      <c r="AB144" s="10"/>
      <c r="AC144" s="10"/>
      <c r="AD144" s="10"/>
      <c r="AE144" s="10"/>
      <c r="AF144" s="10"/>
      <c r="AG144" s="10"/>
      <c r="AH144" s="10"/>
      <c r="AI144" s="10"/>
      <c r="AJ144" s="10"/>
      <c r="AK144" s="10"/>
      <c r="AL144" s="10"/>
      <c r="AM144" s="10"/>
      <c r="AN144" s="10"/>
      <c r="AO144" s="10"/>
      <c r="AP144" s="10"/>
      <c r="AQ144" s="10"/>
      <c r="AR144" s="10"/>
      <c r="AS144" s="10"/>
      <c r="AT144" s="10"/>
      <c r="AU144" s="10"/>
      <c r="AV144" s="10"/>
      <c r="AW144" s="10"/>
      <c r="AX144" s="10"/>
      <c r="AY144" s="10"/>
      <c r="AZ144" s="10"/>
      <c r="BA144" s="10"/>
      <c r="BB144" s="10"/>
      <c r="BC144" s="10"/>
      <c r="BD144" s="10"/>
      <c r="BE144" s="10"/>
      <c r="BF144" s="10"/>
      <c r="BG144" s="10"/>
      <c r="BH144" s="10"/>
    </row>
    <row r="145" spans="1:60" x14ac:dyDescent="0.2">
      <c r="A145" s="10"/>
      <c r="B145" s="10"/>
      <c r="C145" s="10"/>
      <c r="D145" s="10"/>
      <c r="E145" s="10"/>
      <c r="F145" s="10"/>
      <c r="G145" s="10"/>
      <c r="H145" s="10"/>
      <c r="I145" s="10"/>
      <c r="J145" s="10"/>
      <c r="K145" s="10"/>
      <c r="L145" s="10"/>
      <c r="M145" s="10"/>
      <c r="N145" s="10"/>
      <c r="O145" s="10"/>
      <c r="P145" s="10"/>
      <c r="Q145" s="10"/>
      <c r="R145" s="10"/>
      <c r="S145" s="10"/>
      <c r="T145" s="10"/>
      <c r="U145" s="10"/>
      <c r="V145" s="10"/>
      <c r="W145" s="10"/>
      <c r="X145" s="10"/>
      <c r="Y145" s="10"/>
      <c r="Z145" s="10"/>
      <c r="AA145" s="10"/>
      <c r="AB145" s="10"/>
      <c r="AC145" s="10"/>
      <c r="AD145" s="10"/>
      <c r="AE145" s="10"/>
      <c r="AF145" s="10"/>
      <c r="AG145" s="10"/>
      <c r="AH145" s="10"/>
      <c r="AI145" s="10"/>
      <c r="AJ145" s="10"/>
      <c r="AK145" s="10"/>
      <c r="AL145" s="10"/>
      <c r="AM145" s="10"/>
      <c r="AN145" s="10"/>
      <c r="AO145" s="10"/>
      <c r="AP145" s="10"/>
      <c r="AQ145" s="10"/>
      <c r="AR145" s="10"/>
      <c r="AS145" s="10"/>
      <c r="AT145" s="10"/>
      <c r="AU145" s="10"/>
      <c r="AV145" s="10"/>
      <c r="AW145" s="10"/>
      <c r="AX145" s="10"/>
      <c r="AY145" s="10"/>
      <c r="AZ145" s="10"/>
      <c r="BA145" s="10"/>
      <c r="BB145" s="10"/>
      <c r="BC145" s="10"/>
      <c r="BD145" s="10"/>
      <c r="BE145" s="10"/>
      <c r="BF145" s="10"/>
      <c r="BG145" s="10"/>
      <c r="BH145" s="10"/>
    </row>
    <row r="146" spans="1:60" x14ac:dyDescent="0.2">
      <c r="A146" s="10"/>
      <c r="B146" s="10"/>
      <c r="C146" s="10"/>
      <c r="D146" s="10"/>
      <c r="E146" s="10"/>
      <c r="F146" s="10"/>
      <c r="G146" s="10"/>
      <c r="H146" s="10"/>
      <c r="I146" s="10"/>
      <c r="J146" s="10"/>
      <c r="K146" s="10"/>
      <c r="L146" s="10"/>
      <c r="M146" s="10"/>
      <c r="N146" s="10"/>
      <c r="O146" s="10"/>
      <c r="P146" s="10"/>
      <c r="Q146" s="10"/>
      <c r="R146" s="10"/>
      <c r="S146" s="10"/>
      <c r="T146" s="10"/>
      <c r="U146" s="10"/>
      <c r="V146" s="10"/>
      <c r="W146" s="10"/>
      <c r="X146" s="10"/>
      <c r="Y146" s="10"/>
      <c r="Z146" s="10"/>
      <c r="AA146" s="10"/>
      <c r="AB146" s="10"/>
      <c r="AC146" s="10"/>
      <c r="AD146" s="10"/>
      <c r="AE146" s="10"/>
      <c r="AF146" s="10"/>
      <c r="AG146" s="10"/>
      <c r="AH146" s="10"/>
      <c r="AI146" s="10"/>
      <c r="AJ146" s="10"/>
      <c r="AK146" s="10"/>
      <c r="AL146" s="10"/>
      <c r="AM146" s="10"/>
      <c r="AN146" s="10"/>
      <c r="AO146" s="10"/>
      <c r="AP146" s="10"/>
      <c r="AQ146" s="10"/>
      <c r="AR146" s="10"/>
      <c r="AS146" s="10"/>
      <c r="AT146" s="10"/>
      <c r="AU146" s="10"/>
      <c r="AV146" s="10"/>
      <c r="AW146" s="10"/>
      <c r="AX146" s="10"/>
      <c r="AY146" s="10"/>
      <c r="AZ146" s="10"/>
      <c r="BA146" s="10"/>
      <c r="BB146" s="10"/>
      <c r="BC146" s="10"/>
      <c r="BD146" s="10"/>
      <c r="BE146" s="10"/>
      <c r="BF146" s="10"/>
      <c r="BG146" s="10"/>
      <c r="BH146" s="10"/>
    </row>
    <row r="147" spans="1:60" x14ac:dyDescent="0.2">
      <c r="A147" s="10"/>
      <c r="B147" s="10"/>
      <c r="C147" s="10"/>
      <c r="D147" s="10"/>
      <c r="E147" s="10"/>
      <c r="F147" s="10"/>
      <c r="G147" s="10"/>
      <c r="H147" s="10"/>
      <c r="I147" s="10"/>
      <c r="J147" s="10"/>
      <c r="K147" s="10"/>
      <c r="L147" s="10"/>
      <c r="M147" s="10"/>
      <c r="N147" s="10"/>
      <c r="O147" s="10"/>
      <c r="P147" s="10"/>
      <c r="Q147" s="10"/>
      <c r="R147" s="10"/>
      <c r="S147" s="10"/>
      <c r="T147" s="10"/>
      <c r="U147" s="10"/>
      <c r="V147" s="10"/>
      <c r="W147" s="10"/>
      <c r="X147" s="10"/>
      <c r="Y147" s="10"/>
      <c r="Z147" s="10"/>
      <c r="AA147" s="10"/>
      <c r="AB147" s="10"/>
      <c r="AC147" s="10"/>
      <c r="AD147" s="10"/>
      <c r="AE147" s="10"/>
      <c r="AF147" s="10"/>
      <c r="AG147" s="10"/>
      <c r="AH147" s="10"/>
      <c r="AI147" s="10"/>
      <c r="AJ147" s="10"/>
      <c r="AK147" s="10"/>
      <c r="AL147" s="10"/>
      <c r="AM147" s="10"/>
      <c r="AN147" s="10"/>
      <c r="AO147" s="10"/>
      <c r="AP147" s="10"/>
      <c r="AQ147" s="10"/>
      <c r="AR147" s="10"/>
      <c r="AS147" s="10"/>
      <c r="AT147" s="10"/>
      <c r="AU147" s="10"/>
      <c r="AV147" s="10"/>
      <c r="AW147" s="10"/>
      <c r="AX147" s="10"/>
      <c r="AY147" s="10"/>
      <c r="AZ147" s="10"/>
      <c r="BA147" s="10"/>
      <c r="BB147" s="10"/>
      <c r="BC147" s="10"/>
      <c r="BD147" s="10"/>
      <c r="BE147" s="10"/>
      <c r="BF147" s="10"/>
      <c r="BG147" s="10"/>
      <c r="BH147" s="10"/>
    </row>
    <row r="148" spans="1:60" x14ac:dyDescent="0.2">
      <c r="A148" s="10"/>
      <c r="B148" s="10"/>
      <c r="C148" s="10"/>
      <c r="D148" s="10"/>
      <c r="E148" s="10"/>
      <c r="F148" s="10"/>
      <c r="G148" s="10"/>
      <c r="H148" s="10"/>
      <c r="I148" s="10"/>
      <c r="J148" s="10"/>
      <c r="K148" s="10"/>
      <c r="L148" s="10"/>
      <c r="M148" s="10"/>
      <c r="N148" s="10"/>
      <c r="O148" s="10"/>
      <c r="P148" s="10"/>
      <c r="Q148" s="10"/>
      <c r="R148" s="10"/>
      <c r="S148" s="10"/>
      <c r="T148" s="10"/>
      <c r="U148" s="10"/>
      <c r="V148" s="10"/>
      <c r="W148" s="10"/>
      <c r="X148" s="10"/>
      <c r="Y148" s="10"/>
      <c r="Z148" s="10"/>
      <c r="AA148" s="10"/>
      <c r="AB148" s="10"/>
      <c r="AC148" s="10"/>
      <c r="AD148" s="10"/>
      <c r="AE148" s="10"/>
      <c r="AF148" s="10"/>
      <c r="AG148" s="10"/>
      <c r="AH148" s="10"/>
      <c r="AI148" s="10"/>
      <c r="AJ148" s="10"/>
      <c r="AK148" s="10"/>
      <c r="AL148" s="10"/>
      <c r="AM148" s="10"/>
      <c r="AN148" s="10"/>
      <c r="AO148" s="10"/>
      <c r="AP148" s="10"/>
      <c r="AQ148" s="10"/>
      <c r="AR148" s="10"/>
      <c r="AS148" s="10"/>
      <c r="AT148" s="10"/>
      <c r="AU148" s="10"/>
      <c r="AV148" s="10"/>
      <c r="AW148" s="10"/>
      <c r="AX148" s="10"/>
      <c r="AY148" s="10"/>
      <c r="AZ148" s="10"/>
      <c r="BA148" s="10"/>
      <c r="BB148" s="10"/>
      <c r="BC148" s="10"/>
      <c r="BD148" s="10"/>
      <c r="BE148" s="10"/>
      <c r="BF148" s="10"/>
      <c r="BG148" s="10"/>
      <c r="BH148" s="10"/>
    </row>
    <row r="149" spans="1:60" x14ac:dyDescent="0.2">
      <c r="A149" s="10"/>
      <c r="B149" s="10"/>
      <c r="C149" s="10"/>
      <c r="D149" s="10"/>
      <c r="E149" s="10"/>
      <c r="F149" s="10"/>
      <c r="G149" s="10"/>
      <c r="H149" s="10"/>
      <c r="I149" s="10"/>
      <c r="J149" s="10"/>
      <c r="K149" s="10"/>
      <c r="L149" s="10"/>
      <c r="M149" s="10"/>
      <c r="N149" s="10"/>
      <c r="O149" s="10"/>
      <c r="P149" s="10"/>
      <c r="Q149" s="10"/>
      <c r="R149" s="10"/>
      <c r="S149" s="10"/>
      <c r="T149" s="10"/>
      <c r="U149" s="10"/>
      <c r="V149" s="10"/>
      <c r="W149" s="10"/>
      <c r="X149" s="10"/>
      <c r="Y149" s="10"/>
      <c r="Z149" s="10"/>
      <c r="AA149" s="10"/>
      <c r="AB149" s="10"/>
      <c r="AC149" s="10"/>
      <c r="AD149" s="10"/>
      <c r="AE149" s="10"/>
      <c r="AF149" s="10"/>
      <c r="AG149" s="10"/>
      <c r="AH149" s="10"/>
      <c r="AI149" s="10"/>
      <c r="AJ149" s="10"/>
      <c r="AK149" s="10"/>
      <c r="AL149" s="10"/>
      <c r="AM149" s="10"/>
      <c r="AN149" s="10"/>
      <c r="AO149" s="10"/>
      <c r="AP149" s="10"/>
      <c r="AQ149" s="10"/>
      <c r="AR149" s="10"/>
      <c r="AS149" s="10"/>
      <c r="AT149" s="10"/>
      <c r="AU149" s="10"/>
      <c r="AV149" s="10"/>
      <c r="AW149" s="10"/>
      <c r="AX149" s="10"/>
      <c r="AY149" s="10"/>
      <c r="AZ149" s="10"/>
      <c r="BA149" s="10"/>
      <c r="BB149" s="10"/>
      <c r="BC149" s="10"/>
      <c r="BD149" s="10"/>
      <c r="BE149" s="10"/>
      <c r="BF149" s="10"/>
      <c r="BG149" s="10"/>
      <c r="BH149" s="10"/>
    </row>
    <row r="150" spans="1:60" x14ac:dyDescent="0.2">
      <c r="A150" s="10"/>
      <c r="B150" s="10"/>
      <c r="C150" s="10"/>
      <c r="D150" s="10"/>
      <c r="E150" s="10"/>
      <c r="F150" s="10"/>
      <c r="G150" s="10"/>
      <c r="H150" s="10"/>
      <c r="I150" s="10"/>
      <c r="J150" s="10"/>
      <c r="K150" s="10"/>
      <c r="L150" s="10"/>
      <c r="M150" s="10"/>
      <c r="N150" s="10"/>
      <c r="O150" s="10"/>
      <c r="P150" s="10"/>
      <c r="Q150" s="10"/>
      <c r="R150" s="10"/>
      <c r="S150" s="10"/>
      <c r="T150" s="10"/>
      <c r="U150" s="10"/>
      <c r="V150" s="10"/>
      <c r="W150" s="10"/>
      <c r="X150" s="10"/>
      <c r="Y150" s="10"/>
      <c r="Z150" s="10"/>
      <c r="AA150" s="10"/>
      <c r="AB150" s="10"/>
      <c r="AC150" s="10"/>
      <c r="AD150" s="10"/>
      <c r="AE150" s="10"/>
      <c r="AF150" s="10"/>
      <c r="AG150" s="10"/>
      <c r="AH150" s="10"/>
      <c r="AI150" s="10"/>
      <c r="AJ150" s="10"/>
      <c r="AK150" s="10"/>
      <c r="AL150" s="10"/>
      <c r="AM150" s="10"/>
      <c r="AN150" s="10"/>
      <c r="AO150" s="10"/>
      <c r="AP150" s="10"/>
      <c r="AQ150" s="10"/>
      <c r="AR150" s="10"/>
      <c r="AS150" s="10"/>
      <c r="AT150" s="10"/>
      <c r="AU150" s="10"/>
      <c r="AV150" s="10"/>
      <c r="AW150" s="10"/>
      <c r="AX150" s="10"/>
      <c r="AY150" s="10"/>
      <c r="AZ150" s="10"/>
      <c r="BA150" s="10"/>
      <c r="BB150" s="10"/>
      <c r="BC150" s="10"/>
      <c r="BD150" s="10"/>
      <c r="BE150" s="10"/>
      <c r="BF150" s="10"/>
      <c r="BG150" s="10"/>
      <c r="BH150" s="10"/>
    </row>
    <row r="151" spans="1:60" x14ac:dyDescent="0.2">
      <c r="A151" s="10"/>
      <c r="B151" s="10"/>
      <c r="C151" s="10"/>
      <c r="D151" s="10"/>
      <c r="E151" s="10"/>
      <c r="F151" s="10"/>
      <c r="G151" s="10"/>
      <c r="H151" s="10"/>
      <c r="I151" s="10"/>
      <c r="J151" s="10"/>
      <c r="K151" s="10"/>
      <c r="L151" s="10"/>
      <c r="M151" s="10"/>
      <c r="N151" s="10"/>
      <c r="O151" s="10"/>
      <c r="P151" s="10"/>
      <c r="Q151" s="10"/>
      <c r="R151" s="10"/>
      <c r="S151" s="10"/>
      <c r="T151" s="10"/>
      <c r="U151" s="10"/>
      <c r="V151" s="10"/>
      <c r="W151" s="10"/>
      <c r="X151" s="10"/>
      <c r="Y151" s="10"/>
      <c r="Z151" s="10"/>
      <c r="AA151" s="10"/>
      <c r="AB151" s="10"/>
      <c r="AC151" s="10"/>
      <c r="AD151" s="10"/>
      <c r="AE151" s="10"/>
      <c r="AF151" s="10"/>
      <c r="AG151" s="10"/>
      <c r="AH151" s="10"/>
      <c r="AI151" s="10"/>
      <c r="AJ151" s="10"/>
      <c r="AK151" s="10"/>
      <c r="AL151" s="10"/>
      <c r="AM151" s="10"/>
      <c r="AN151" s="10"/>
      <c r="AO151" s="10"/>
      <c r="AP151" s="10"/>
      <c r="AQ151" s="10"/>
      <c r="AR151" s="10"/>
      <c r="AS151" s="10"/>
      <c r="AT151" s="10"/>
      <c r="AU151" s="10"/>
      <c r="AV151" s="10"/>
      <c r="AW151" s="10"/>
      <c r="AX151" s="10"/>
      <c r="AY151" s="10"/>
      <c r="AZ151" s="10"/>
      <c r="BA151" s="10"/>
      <c r="BB151" s="10"/>
      <c r="BC151" s="10"/>
      <c r="BD151" s="10"/>
      <c r="BE151" s="10"/>
      <c r="BF151" s="10"/>
      <c r="BG151" s="10"/>
      <c r="BH151" s="10"/>
    </row>
    <row r="152" spans="1:60" x14ac:dyDescent="0.2">
      <c r="A152" s="10"/>
      <c r="B152" s="10"/>
      <c r="C152" s="10"/>
      <c r="D152" s="10"/>
      <c r="E152" s="10"/>
      <c r="F152" s="10"/>
      <c r="G152" s="10"/>
      <c r="H152" s="10"/>
      <c r="I152" s="10"/>
      <c r="J152" s="10"/>
      <c r="K152" s="10"/>
      <c r="L152" s="10"/>
      <c r="M152" s="10"/>
      <c r="N152" s="10"/>
      <c r="O152" s="10"/>
      <c r="P152" s="10"/>
      <c r="Q152" s="10"/>
      <c r="R152" s="10"/>
      <c r="S152" s="10"/>
      <c r="T152" s="10"/>
      <c r="U152" s="10"/>
      <c r="V152" s="10"/>
      <c r="W152" s="10"/>
      <c r="X152" s="10"/>
      <c r="Y152" s="10"/>
      <c r="Z152" s="10"/>
      <c r="AA152" s="10"/>
      <c r="AB152" s="10"/>
      <c r="AC152" s="10"/>
      <c r="AD152" s="10"/>
      <c r="AE152" s="10"/>
      <c r="AF152" s="10"/>
      <c r="AG152" s="10"/>
      <c r="AH152" s="10"/>
      <c r="AI152" s="10"/>
      <c r="AJ152" s="10"/>
      <c r="AK152" s="10"/>
      <c r="AL152" s="10"/>
      <c r="AM152" s="10"/>
      <c r="AN152" s="10"/>
      <c r="AO152" s="10"/>
      <c r="AP152" s="10"/>
      <c r="AQ152" s="10"/>
      <c r="AR152" s="10"/>
      <c r="AS152" s="10"/>
      <c r="AT152" s="10"/>
      <c r="AU152" s="10"/>
      <c r="AV152" s="10"/>
      <c r="AW152" s="10"/>
      <c r="AX152" s="10"/>
      <c r="AY152" s="10"/>
      <c r="AZ152" s="10"/>
      <c r="BA152" s="10"/>
      <c r="BB152" s="10"/>
      <c r="BC152" s="10"/>
      <c r="BD152" s="10"/>
      <c r="BE152" s="10"/>
      <c r="BF152" s="10"/>
      <c r="BG152" s="10"/>
      <c r="BH152" s="10"/>
    </row>
    <row r="153" spans="1:60" x14ac:dyDescent="0.2">
      <c r="A153" s="10"/>
      <c r="B153" s="10"/>
      <c r="C153" s="10"/>
      <c r="D153" s="10"/>
      <c r="E153" s="10"/>
      <c r="F153" s="10"/>
      <c r="G153" s="10"/>
      <c r="H153" s="10"/>
      <c r="I153" s="10"/>
      <c r="J153" s="10"/>
      <c r="K153" s="10"/>
      <c r="L153" s="10"/>
      <c r="M153" s="10"/>
      <c r="N153" s="10"/>
      <c r="O153" s="10"/>
      <c r="P153" s="10"/>
      <c r="Q153" s="10"/>
      <c r="R153" s="10"/>
      <c r="S153" s="10"/>
      <c r="T153" s="10"/>
      <c r="U153" s="10"/>
      <c r="V153" s="10"/>
      <c r="W153" s="10"/>
      <c r="X153" s="10"/>
      <c r="Y153" s="10"/>
      <c r="Z153" s="10"/>
      <c r="AA153" s="10"/>
      <c r="AB153" s="10"/>
      <c r="AC153" s="10"/>
      <c r="AD153" s="10"/>
      <c r="AE153" s="10"/>
      <c r="AF153" s="10"/>
      <c r="AG153" s="10"/>
      <c r="AH153" s="10"/>
      <c r="AI153" s="10"/>
      <c r="AJ153" s="10"/>
      <c r="AK153" s="10"/>
      <c r="AL153" s="10"/>
      <c r="AM153" s="10"/>
      <c r="AN153" s="10"/>
      <c r="AO153" s="10"/>
      <c r="AP153" s="10"/>
      <c r="AQ153" s="10"/>
      <c r="AR153" s="10"/>
      <c r="AS153" s="10"/>
      <c r="AT153" s="10"/>
      <c r="AU153" s="10"/>
      <c r="AV153" s="10"/>
      <c r="AW153" s="10"/>
      <c r="AX153" s="10"/>
      <c r="AY153" s="10"/>
      <c r="AZ153" s="10"/>
      <c r="BA153" s="10"/>
      <c r="BB153" s="10"/>
      <c r="BC153" s="10"/>
      <c r="BD153" s="10"/>
      <c r="BE153" s="10"/>
      <c r="BF153" s="10"/>
      <c r="BG153" s="10"/>
      <c r="BH153" s="10"/>
    </row>
    <row r="154" spans="1:60" x14ac:dyDescent="0.2">
      <c r="A154" s="10"/>
      <c r="B154" s="10"/>
      <c r="C154" s="10"/>
      <c r="D154" s="10"/>
      <c r="E154" s="10"/>
      <c r="F154" s="10"/>
      <c r="G154" s="10"/>
      <c r="H154" s="10"/>
      <c r="I154" s="10"/>
      <c r="J154" s="10"/>
      <c r="K154" s="10"/>
      <c r="L154" s="10"/>
      <c r="M154" s="10"/>
      <c r="N154" s="10"/>
      <c r="O154" s="10"/>
      <c r="P154" s="10"/>
      <c r="Q154" s="10"/>
      <c r="R154" s="10"/>
      <c r="S154" s="10"/>
      <c r="T154" s="10"/>
      <c r="U154" s="10"/>
      <c r="V154" s="10"/>
      <c r="W154" s="10"/>
      <c r="X154" s="10"/>
      <c r="Y154" s="10"/>
      <c r="Z154" s="10"/>
      <c r="AA154" s="10"/>
      <c r="AB154" s="10"/>
      <c r="AC154" s="10"/>
      <c r="AD154" s="10"/>
      <c r="AE154" s="10"/>
      <c r="AF154" s="10"/>
      <c r="AG154" s="10"/>
      <c r="AH154" s="10"/>
      <c r="AI154" s="10"/>
      <c r="AJ154" s="10"/>
      <c r="AK154" s="10"/>
      <c r="AL154" s="10"/>
      <c r="AM154" s="10"/>
      <c r="AN154" s="10"/>
      <c r="AO154" s="10"/>
      <c r="AP154" s="10"/>
      <c r="AQ154" s="10"/>
      <c r="AR154" s="10"/>
      <c r="AS154" s="10"/>
      <c r="AT154" s="10"/>
      <c r="AU154" s="10"/>
      <c r="AV154" s="10"/>
      <c r="AW154" s="10"/>
      <c r="AX154" s="10"/>
      <c r="AY154" s="10"/>
      <c r="AZ154" s="10"/>
      <c r="BA154" s="10"/>
      <c r="BB154" s="10"/>
      <c r="BC154" s="10"/>
      <c r="BD154" s="10"/>
      <c r="BE154" s="10"/>
      <c r="BF154" s="10"/>
      <c r="BG154" s="10"/>
      <c r="BH154" s="10"/>
    </row>
    <row r="155" spans="1:60" x14ac:dyDescent="0.2">
      <c r="A155" s="10"/>
      <c r="B155" s="10"/>
      <c r="C155" s="10"/>
      <c r="D155" s="10"/>
      <c r="E155" s="10"/>
      <c r="F155" s="10"/>
      <c r="G155" s="10"/>
      <c r="H155" s="10"/>
      <c r="I155" s="10"/>
      <c r="J155" s="10"/>
      <c r="K155" s="10"/>
      <c r="L155" s="10"/>
      <c r="M155" s="10"/>
      <c r="N155" s="10"/>
      <c r="O155" s="10"/>
      <c r="P155" s="10"/>
      <c r="Q155" s="10"/>
      <c r="R155" s="10"/>
      <c r="S155" s="10"/>
      <c r="T155" s="10"/>
      <c r="U155" s="10"/>
      <c r="V155" s="10"/>
      <c r="W155" s="10"/>
      <c r="X155" s="10"/>
      <c r="Y155" s="10"/>
      <c r="Z155" s="10"/>
      <c r="AA155" s="10"/>
      <c r="AB155" s="10"/>
      <c r="AC155" s="10"/>
      <c r="AD155" s="10"/>
      <c r="AE155" s="10"/>
      <c r="AF155" s="10"/>
      <c r="AG155" s="10"/>
      <c r="AH155" s="10"/>
      <c r="AI155" s="10"/>
      <c r="AJ155" s="10"/>
      <c r="AK155" s="10"/>
      <c r="AL155" s="10"/>
      <c r="AM155" s="10"/>
      <c r="AN155" s="10"/>
      <c r="AO155" s="10"/>
      <c r="AP155" s="10"/>
      <c r="AQ155" s="10"/>
      <c r="AR155" s="10"/>
      <c r="AS155" s="10"/>
      <c r="AT155" s="10"/>
      <c r="AU155" s="10"/>
      <c r="AV155" s="10"/>
      <c r="AW155" s="10"/>
      <c r="AX155" s="10"/>
      <c r="AY155" s="10"/>
      <c r="AZ155" s="10"/>
      <c r="BA155" s="10"/>
      <c r="BB155" s="10"/>
      <c r="BC155" s="10"/>
      <c r="BD155" s="10"/>
      <c r="BE155" s="10"/>
      <c r="BF155" s="10"/>
      <c r="BG155" s="10"/>
      <c r="BH155" s="10"/>
    </row>
    <row r="156" spans="1:60" x14ac:dyDescent="0.2">
      <c r="A156" s="10"/>
      <c r="B156" s="10"/>
      <c r="C156" s="10"/>
      <c r="D156" s="10"/>
      <c r="E156" s="10"/>
      <c r="F156" s="10"/>
      <c r="G156" s="10"/>
      <c r="H156" s="10"/>
      <c r="I156" s="10"/>
      <c r="J156" s="10"/>
      <c r="K156" s="10"/>
      <c r="L156" s="10"/>
      <c r="M156" s="10"/>
      <c r="N156" s="10"/>
      <c r="O156" s="10"/>
      <c r="P156" s="10"/>
      <c r="Q156" s="10"/>
      <c r="R156" s="10"/>
      <c r="S156" s="10"/>
      <c r="T156" s="10"/>
      <c r="U156" s="10"/>
      <c r="V156" s="10"/>
      <c r="W156" s="10"/>
      <c r="X156" s="10"/>
      <c r="Y156" s="10"/>
      <c r="Z156" s="10"/>
      <c r="AA156" s="10"/>
      <c r="AB156" s="10"/>
      <c r="AC156" s="10"/>
      <c r="AD156" s="10"/>
      <c r="AE156" s="10"/>
      <c r="AF156" s="10"/>
      <c r="AG156" s="10"/>
      <c r="AH156" s="10"/>
      <c r="AI156" s="10"/>
      <c r="AJ156" s="10"/>
      <c r="AK156" s="10"/>
      <c r="AL156" s="10"/>
      <c r="AM156" s="10"/>
      <c r="AN156" s="10"/>
      <c r="AO156" s="10"/>
      <c r="AP156" s="10"/>
      <c r="AQ156" s="10"/>
      <c r="AR156" s="10"/>
      <c r="AS156" s="10"/>
      <c r="AT156" s="10"/>
      <c r="AU156" s="10"/>
      <c r="AV156" s="10"/>
      <c r="AW156" s="10"/>
      <c r="AX156" s="10"/>
      <c r="AY156" s="10"/>
      <c r="AZ156" s="10"/>
      <c r="BA156" s="10"/>
      <c r="BB156" s="10"/>
      <c r="BC156" s="10"/>
      <c r="BD156" s="10"/>
      <c r="BE156" s="10"/>
      <c r="BF156" s="10"/>
      <c r="BG156" s="10"/>
      <c r="BH156" s="10"/>
    </row>
    <row r="157" spans="1:60" x14ac:dyDescent="0.2">
      <c r="A157" s="10"/>
      <c r="B157" s="10"/>
      <c r="C157" s="10"/>
      <c r="D157" s="10"/>
      <c r="E157" s="10"/>
      <c r="F157" s="10"/>
      <c r="G157" s="10"/>
      <c r="H157" s="10"/>
      <c r="I157" s="10"/>
      <c r="J157" s="10"/>
      <c r="K157" s="10"/>
      <c r="L157" s="10"/>
      <c r="M157" s="10"/>
      <c r="N157" s="10"/>
      <c r="O157" s="10"/>
      <c r="P157" s="10"/>
      <c r="Q157" s="10"/>
      <c r="R157" s="10"/>
      <c r="S157" s="10"/>
      <c r="T157" s="10"/>
      <c r="U157" s="10"/>
      <c r="V157" s="10"/>
      <c r="W157" s="10"/>
      <c r="X157" s="10"/>
      <c r="Y157" s="10"/>
      <c r="Z157" s="10"/>
      <c r="AA157" s="10"/>
      <c r="AB157" s="10"/>
      <c r="AC157" s="10"/>
      <c r="AD157" s="10"/>
      <c r="AE157" s="10"/>
      <c r="AF157" s="10"/>
      <c r="AG157" s="10"/>
      <c r="AH157" s="10"/>
      <c r="AI157" s="10"/>
      <c r="AJ157" s="10"/>
      <c r="AK157" s="10"/>
      <c r="AL157" s="10"/>
      <c r="AM157" s="10"/>
      <c r="AN157" s="10"/>
      <c r="AO157" s="10"/>
      <c r="AP157" s="10"/>
      <c r="AQ157" s="10"/>
      <c r="AR157" s="10"/>
      <c r="AS157" s="10"/>
      <c r="AT157" s="10"/>
      <c r="AU157" s="10"/>
      <c r="AV157" s="10"/>
      <c r="AW157" s="10"/>
      <c r="AX157" s="10"/>
      <c r="AY157" s="10"/>
      <c r="AZ157" s="10"/>
      <c r="BA157" s="10"/>
      <c r="BB157" s="10"/>
      <c r="BC157" s="10"/>
      <c r="BD157" s="10"/>
      <c r="BE157" s="10"/>
      <c r="BF157" s="10"/>
      <c r="BG157" s="10"/>
      <c r="BH157" s="10"/>
    </row>
    <row r="158" spans="1:60" x14ac:dyDescent="0.2">
      <c r="A158" s="10"/>
      <c r="B158" s="10"/>
      <c r="C158" s="10"/>
      <c r="D158" s="10"/>
      <c r="E158" s="10"/>
      <c r="F158" s="10"/>
      <c r="G158" s="10"/>
      <c r="H158" s="10"/>
      <c r="I158" s="10"/>
      <c r="J158" s="10"/>
      <c r="K158" s="10"/>
      <c r="L158" s="10"/>
      <c r="M158" s="10"/>
      <c r="N158" s="10"/>
      <c r="O158" s="10"/>
      <c r="P158" s="10"/>
      <c r="Q158" s="10"/>
      <c r="R158" s="10"/>
      <c r="S158" s="10"/>
      <c r="T158" s="10"/>
      <c r="U158" s="10"/>
      <c r="V158" s="10"/>
      <c r="W158" s="10"/>
      <c r="X158" s="10"/>
      <c r="Y158" s="10"/>
      <c r="Z158" s="10"/>
      <c r="AA158" s="10"/>
      <c r="AB158" s="10"/>
      <c r="AC158" s="10"/>
      <c r="AD158" s="10"/>
      <c r="AE158" s="10"/>
      <c r="AF158" s="10"/>
      <c r="AG158" s="10"/>
      <c r="AH158" s="10"/>
      <c r="AI158" s="10"/>
      <c r="AJ158" s="10"/>
      <c r="AK158" s="10"/>
      <c r="AL158" s="10"/>
      <c r="AM158" s="10"/>
      <c r="AN158" s="10"/>
      <c r="AO158" s="10"/>
      <c r="AP158" s="10"/>
      <c r="AQ158" s="10"/>
      <c r="AR158" s="10"/>
      <c r="AS158" s="10"/>
      <c r="AT158" s="10"/>
      <c r="AU158" s="10"/>
      <c r="AV158" s="10"/>
      <c r="AW158" s="10"/>
      <c r="AX158" s="10"/>
      <c r="AY158" s="10"/>
      <c r="AZ158" s="10"/>
      <c r="BA158" s="10"/>
      <c r="BB158" s="10"/>
      <c r="BC158" s="10"/>
      <c r="BD158" s="10"/>
      <c r="BE158" s="10"/>
      <c r="BF158" s="10"/>
      <c r="BG158" s="10"/>
      <c r="BH158" s="10"/>
    </row>
    <row r="159" spans="1:60" x14ac:dyDescent="0.2">
      <c r="A159" s="10"/>
      <c r="B159" s="10"/>
      <c r="C159" s="10"/>
      <c r="D159" s="10"/>
      <c r="E159" s="10"/>
      <c r="F159" s="10"/>
      <c r="G159" s="10"/>
      <c r="H159" s="10"/>
      <c r="I159" s="10"/>
      <c r="J159" s="10"/>
      <c r="K159" s="10"/>
      <c r="L159" s="10"/>
      <c r="M159" s="10"/>
      <c r="N159" s="10"/>
      <c r="O159" s="10"/>
      <c r="P159" s="10"/>
      <c r="Q159" s="10"/>
      <c r="R159" s="10"/>
      <c r="S159" s="10"/>
      <c r="T159" s="10"/>
      <c r="U159" s="10"/>
      <c r="V159" s="10"/>
      <c r="W159" s="10"/>
      <c r="X159" s="10"/>
      <c r="Y159" s="10"/>
      <c r="Z159" s="10"/>
      <c r="AA159" s="10"/>
      <c r="AB159" s="10"/>
      <c r="AC159" s="10"/>
      <c r="AD159" s="10"/>
      <c r="AE159" s="10"/>
      <c r="AF159" s="10"/>
      <c r="AG159" s="10"/>
      <c r="AH159" s="10"/>
      <c r="AI159" s="10"/>
      <c r="AJ159" s="10"/>
      <c r="AK159" s="10"/>
      <c r="AL159" s="10"/>
      <c r="AM159" s="10"/>
      <c r="AN159" s="10"/>
      <c r="AO159" s="10"/>
      <c r="AP159" s="10"/>
      <c r="AQ159" s="10"/>
      <c r="AR159" s="10"/>
      <c r="AS159" s="10"/>
      <c r="AT159" s="10"/>
      <c r="AU159" s="10"/>
      <c r="AV159" s="10"/>
      <c r="AW159" s="10"/>
      <c r="AX159" s="10"/>
      <c r="AY159" s="10"/>
      <c r="AZ159" s="10"/>
      <c r="BA159" s="10"/>
      <c r="BB159" s="10"/>
      <c r="BC159" s="10"/>
      <c r="BD159" s="10"/>
      <c r="BE159" s="10"/>
      <c r="BF159" s="10"/>
      <c r="BG159" s="10"/>
      <c r="BH159" s="10"/>
    </row>
    <row r="160" spans="1:60" x14ac:dyDescent="0.2">
      <c r="A160" s="10"/>
      <c r="B160" s="10"/>
      <c r="C160" s="10"/>
      <c r="D160" s="10"/>
      <c r="E160" s="10"/>
      <c r="F160" s="10"/>
      <c r="G160" s="10"/>
      <c r="H160" s="10"/>
      <c r="I160" s="10"/>
      <c r="J160" s="10"/>
      <c r="K160" s="10"/>
      <c r="L160" s="10"/>
      <c r="M160" s="10"/>
      <c r="N160" s="10"/>
      <c r="O160" s="10"/>
      <c r="P160" s="10"/>
      <c r="Q160" s="10"/>
      <c r="R160" s="10"/>
      <c r="S160" s="10"/>
      <c r="T160" s="10"/>
      <c r="U160" s="10"/>
      <c r="V160" s="10"/>
      <c r="W160" s="10"/>
      <c r="X160" s="10"/>
      <c r="Y160" s="10"/>
      <c r="Z160" s="10"/>
      <c r="AA160" s="10"/>
      <c r="AB160" s="10"/>
      <c r="AC160" s="10"/>
      <c r="AD160" s="10"/>
      <c r="AE160" s="10"/>
      <c r="AF160" s="10"/>
      <c r="AG160" s="10"/>
      <c r="AH160" s="10"/>
      <c r="AI160" s="10"/>
      <c r="AJ160" s="10"/>
      <c r="AK160" s="10"/>
      <c r="AL160" s="10"/>
      <c r="AM160" s="10"/>
      <c r="AN160" s="10"/>
      <c r="AO160" s="10"/>
      <c r="AP160" s="10"/>
      <c r="AQ160" s="10"/>
      <c r="AR160" s="10"/>
      <c r="AS160" s="10"/>
      <c r="AT160" s="10"/>
      <c r="AU160" s="10"/>
      <c r="AV160" s="10"/>
      <c r="AW160" s="10"/>
      <c r="AX160" s="10"/>
      <c r="AY160" s="10"/>
      <c r="AZ160" s="10"/>
      <c r="BA160" s="10"/>
      <c r="BB160" s="10"/>
      <c r="BC160" s="10"/>
      <c r="BD160" s="10"/>
      <c r="BE160" s="10"/>
      <c r="BF160" s="10"/>
      <c r="BG160" s="10"/>
      <c r="BH160" s="10"/>
    </row>
    <row r="161" spans="1:60" x14ac:dyDescent="0.2">
      <c r="A161" s="10"/>
      <c r="B161" s="10"/>
      <c r="C161" s="10"/>
      <c r="D161" s="10"/>
      <c r="E161" s="10"/>
      <c r="F161" s="10"/>
      <c r="G161" s="10"/>
      <c r="H161" s="10"/>
      <c r="I161" s="10"/>
      <c r="J161" s="10"/>
      <c r="K161" s="10"/>
      <c r="L161" s="10"/>
      <c r="M161" s="10"/>
      <c r="N161" s="10"/>
      <c r="O161" s="10"/>
      <c r="P161" s="10"/>
      <c r="Q161" s="10"/>
      <c r="R161" s="10"/>
      <c r="S161" s="10"/>
      <c r="T161" s="10"/>
      <c r="U161" s="10"/>
      <c r="V161" s="10"/>
      <c r="W161" s="10"/>
      <c r="X161" s="10"/>
      <c r="Y161" s="10"/>
      <c r="Z161" s="10"/>
      <c r="AA161" s="10"/>
      <c r="AB161" s="10"/>
      <c r="AC161" s="10"/>
      <c r="AD161" s="10"/>
      <c r="AE161" s="10"/>
      <c r="AF161" s="10"/>
      <c r="AG161" s="10"/>
      <c r="AH161" s="10"/>
      <c r="AI161" s="10"/>
      <c r="AJ161" s="10"/>
      <c r="AK161" s="10"/>
      <c r="AL161" s="10"/>
      <c r="AM161" s="10"/>
      <c r="AN161" s="10"/>
      <c r="AO161" s="10"/>
      <c r="AP161" s="10"/>
      <c r="AQ161" s="10"/>
      <c r="AR161" s="10"/>
      <c r="AS161" s="10"/>
      <c r="AT161" s="10"/>
      <c r="AU161" s="10"/>
      <c r="AV161" s="10"/>
      <c r="AW161" s="10"/>
      <c r="AX161" s="10"/>
      <c r="AY161" s="10"/>
      <c r="AZ161" s="10"/>
      <c r="BA161" s="10"/>
      <c r="BB161" s="10"/>
      <c r="BC161" s="10"/>
      <c r="BD161" s="10"/>
      <c r="BE161" s="10"/>
      <c r="BF161" s="10"/>
      <c r="BG161" s="10"/>
      <c r="BH161" s="10"/>
    </row>
    <row r="162" spans="1:60" x14ac:dyDescent="0.2">
      <c r="A162" s="10"/>
      <c r="B162" s="10"/>
      <c r="C162" s="10"/>
      <c r="D162" s="10"/>
      <c r="E162" s="10"/>
      <c r="F162" s="10"/>
      <c r="G162" s="10"/>
      <c r="H162" s="10"/>
      <c r="I162" s="10"/>
      <c r="J162" s="10"/>
      <c r="K162" s="10"/>
      <c r="L162" s="10"/>
      <c r="M162" s="10"/>
      <c r="N162" s="10"/>
      <c r="O162" s="10"/>
      <c r="P162" s="10"/>
      <c r="Q162" s="10"/>
      <c r="R162" s="10"/>
      <c r="S162" s="10"/>
      <c r="T162" s="10"/>
      <c r="U162" s="10"/>
      <c r="V162" s="10"/>
      <c r="W162" s="10"/>
      <c r="X162" s="10"/>
      <c r="Y162" s="10"/>
      <c r="Z162" s="10"/>
      <c r="AA162" s="10"/>
      <c r="AB162" s="10"/>
      <c r="AC162" s="10"/>
      <c r="AD162" s="10"/>
      <c r="AE162" s="10"/>
      <c r="AF162" s="10"/>
      <c r="AG162" s="10"/>
      <c r="AH162" s="10"/>
      <c r="AI162" s="10"/>
      <c r="AJ162" s="10"/>
      <c r="AK162" s="10"/>
      <c r="AL162" s="10"/>
      <c r="AM162" s="10"/>
      <c r="AN162" s="10"/>
      <c r="AO162" s="10"/>
      <c r="AP162" s="10"/>
      <c r="AQ162" s="10"/>
      <c r="AR162" s="10"/>
      <c r="AS162" s="10"/>
      <c r="AT162" s="10"/>
      <c r="AU162" s="10"/>
      <c r="AV162" s="10"/>
      <c r="AW162" s="10"/>
      <c r="AX162" s="10"/>
      <c r="AY162" s="10"/>
      <c r="AZ162" s="10"/>
      <c r="BA162" s="10"/>
      <c r="BB162" s="10"/>
      <c r="BC162" s="10"/>
      <c r="BD162" s="10"/>
      <c r="BE162" s="10"/>
      <c r="BF162" s="10"/>
      <c r="BG162" s="10"/>
      <c r="BH162" s="10"/>
    </row>
    <row r="163" spans="1:60" x14ac:dyDescent="0.2">
      <c r="A163" s="10"/>
      <c r="B163" s="10"/>
      <c r="C163" s="10"/>
      <c r="D163" s="10"/>
      <c r="E163" s="10"/>
      <c r="F163" s="10"/>
      <c r="G163" s="10"/>
      <c r="H163" s="10"/>
      <c r="I163" s="10"/>
      <c r="J163" s="10"/>
      <c r="K163" s="10"/>
      <c r="L163" s="10"/>
      <c r="M163" s="10"/>
      <c r="N163" s="10"/>
      <c r="O163" s="10"/>
      <c r="P163" s="10"/>
      <c r="Q163" s="10"/>
      <c r="R163" s="10"/>
      <c r="S163" s="10"/>
      <c r="T163" s="10"/>
      <c r="U163" s="10"/>
      <c r="V163" s="10"/>
      <c r="W163" s="10"/>
      <c r="X163" s="10"/>
      <c r="Y163" s="10"/>
      <c r="Z163" s="10"/>
      <c r="AA163" s="10"/>
      <c r="AB163" s="10"/>
      <c r="AC163" s="10"/>
      <c r="AD163" s="10"/>
      <c r="AE163" s="10"/>
      <c r="AF163" s="10"/>
      <c r="AG163" s="10"/>
      <c r="AH163" s="10"/>
      <c r="AI163" s="10"/>
      <c r="AJ163" s="10"/>
      <c r="AK163" s="10"/>
      <c r="AL163" s="10"/>
      <c r="AM163" s="10"/>
      <c r="AN163" s="10"/>
      <c r="AO163" s="10"/>
      <c r="AP163" s="10"/>
      <c r="AQ163" s="10"/>
      <c r="AR163" s="10"/>
      <c r="AS163" s="10"/>
      <c r="AT163" s="10"/>
      <c r="AU163" s="10"/>
      <c r="AV163" s="10"/>
      <c r="AW163" s="10"/>
      <c r="AX163" s="10"/>
      <c r="AY163" s="10"/>
      <c r="AZ163" s="10"/>
      <c r="BA163" s="10"/>
      <c r="BB163" s="10"/>
      <c r="BC163" s="10"/>
      <c r="BD163" s="10"/>
      <c r="BE163" s="10"/>
      <c r="BF163" s="10"/>
      <c r="BG163" s="10"/>
      <c r="BH163" s="10"/>
    </row>
    <row r="164" spans="1:60" x14ac:dyDescent="0.2">
      <c r="A164" s="10"/>
      <c r="B164" s="10"/>
      <c r="C164" s="10"/>
      <c r="D164" s="10"/>
      <c r="E164" s="10"/>
      <c r="F164" s="10"/>
      <c r="G164" s="10"/>
      <c r="H164" s="10"/>
      <c r="I164" s="10"/>
      <c r="J164" s="10"/>
      <c r="K164" s="10"/>
      <c r="L164" s="10"/>
      <c r="M164" s="10"/>
      <c r="N164" s="10"/>
      <c r="O164" s="10"/>
      <c r="P164" s="10"/>
      <c r="Q164" s="10"/>
      <c r="R164" s="10"/>
      <c r="S164" s="10"/>
      <c r="T164" s="10"/>
      <c r="U164" s="10"/>
      <c r="V164" s="10"/>
      <c r="W164" s="10"/>
      <c r="X164" s="10"/>
      <c r="Y164" s="10"/>
      <c r="Z164" s="10"/>
      <c r="AA164" s="10"/>
      <c r="AB164" s="10"/>
      <c r="AC164" s="10"/>
      <c r="AD164" s="10"/>
      <c r="AE164" s="10"/>
      <c r="AF164" s="10"/>
      <c r="AG164" s="10"/>
      <c r="AH164" s="10"/>
      <c r="AI164" s="10"/>
      <c r="AJ164" s="10"/>
      <c r="AK164" s="10"/>
      <c r="AL164" s="10"/>
      <c r="AM164" s="10"/>
      <c r="AN164" s="10"/>
      <c r="AO164" s="10"/>
      <c r="AP164" s="10"/>
      <c r="AQ164" s="10"/>
      <c r="AR164" s="10"/>
      <c r="AS164" s="10"/>
      <c r="AT164" s="10"/>
      <c r="AU164" s="10"/>
      <c r="AV164" s="10"/>
      <c r="AW164" s="10"/>
      <c r="AX164" s="10"/>
      <c r="AY164" s="10"/>
      <c r="AZ164" s="10"/>
      <c r="BA164" s="10"/>
      <c r="BB164" s="10"/>
      <c r="BC164" s="10"/>
      <c r="BD164" s="10"/>
      <c r="BE164" s="10"/>
      <c r="BF164" s="10"/>
      <c r="BG164" s="10"/>
      <c r="BH164" s="10"/>
    </row>
    <row r="165" spans="1:60" x14ac:dyDescent="0.2">
      <c r="A165" s="10"/>
      <c r="B165" s="10"/>
      <c r="C165" s="10"/>
      <c r="D165" s="10"/>
      <c r="E165" s="10"/>
      <c r="F165" s="10"/>
      <c r="G165" s="10"/>
      <c r="H165" s="10"/>
      <c r="I165" s="10"/>
      <c r="J165" s="10"/>
      <c r="K165" s="10"/>
      <c r="L165" s="10"/>
      <c r="M165" s="10"/>
      <c r="N165" s="10"/>
      <c r="O165" s="10"/>
      <c r="P165" s="10"/>
      <c r="Q165" s="10"/>
      <c r="R165" s="10"/>
      <c r="S165" s="10"/>
      <c r="T165" s="10"/>
      <c r="U165" s="10"/>
      <c r="V165" s="10"/>
      <c r="W165" s="10"/>
      <c r="X165" s="10"/>
      <c r="Y165" s="10"/>
      <c r="Z165" s="10"/>
      <c r="AA165" s="10"/>
      <c r="AB165" s="10"/>
      <c r="AC165" s="10"/>
      <c r="AD165" s="10"/>
      <c r="AE165" s="10"/>
      <c r="AF165" s="10"/>
      <c r="AG165" s="10"/>
      <c r="AH165" s="10"/>
      <c r="AI165" s="10"/>
      <c r="AJ165" s="10"/>
      <c r="AK165" s="10"/>
      <c r="AL165" s="10"/>
      <c r="AM165" s="10"/>
      <c r="AN165" s="10"/>
      <c r="AO165" s="10"/>
      <c r="AP165" s="10"/>
      <c r="AQ165" s="10"/>
      <c r="AR165" s="10"/>
      <c r="AS165" s="10"/>
      <c r="AT165" s="10"/>
      <c r="AU165" s="10"/>
      <c r="AV165" s="10"/>
      <c r="AW165" s="10"/>
      <c r="AX165" s="10"/>
      <c r="AY165" s="10"/>
      <c r="AZ165" s="10"/>
      <c r="BA165" s="10"/>
      <c r="BB165" s="10"/>
      <c r="BC165" s="10"/>
      <c r="BD165" s="10"/>
      <c r="BE165" s="10"/>
      <c r="BF165" s="10"/>
      <c r="BG165" s="10"/>
      <c r="BH165" s="10"/>
    </row>
    <row r="166" spans="1:60" x14ac:dyDescent="0.2">
      <c r="A166" s="10"/>
      <c r="B166" s="10"/>
      <c r="C166" s="10"/>
      <c r="D166" s="10"/>
      <c r="E166" s="10"/>
      <c r="F166" s="10"/>
      <c r="G166" s="10"/>
      <c r="H166" s="10"/>
      <c r="I166" s="10"/>
      <c r="J166" s="10"/>
      <c r="K166" s="10"/>
      <c r="L166" s="10"/>
      <c r="M166" s="10"/>
      <c r="N166" s="10"/>
      <c r="O166" s="10"/>
      <c r="P166" s="10"/>
      <c r="Q166" s="10"/>
      <c r="R166" s="10"/>
      <c r="S166" s="10"/>
      <c r="T166" s="10"/>
      <c r="U166" s="10"/>
      <c r="V166" s="10"/>
      <c r="W166" s="10"/>
      <c r="X166" s="10"/>
      <c r="Y166" s="10"/>
      <c r="Z166" s="10"/>
      <c r="AA166" s="10"/>
      <c r="AB166" s="10"/>
      <c r="AC166" s="10"/>
      <c r="AD166" s="10"/>
      <c r="AE166" s="10"/>
      <c r="AF166" s="10"/>
      <c r="AG166" s="10"/>
      <c r="AH166" s="10"/>
      <c r="AI166" s="10"/>
      <c r="AJ166" s="10"/>
      <c r="AK166" s="10"/>
      <c r="AL166" s="10"/>
      <c r="AM166" s="10"/>
      <c r="AN166" s="10"/>
      <c r="AO166" s="10"/>
      <c r="AP166" s="10"/>
      <c r="AQ166" s="10"/>
      <c r="AR166" s="10"/>
      <c r="AS166" s="10"/>
      <c r="AT166" s="10"/>
      <c r="AU166" s="10"/>
      <c r="AV166" s="10"/>
      <c r="AW166" s="10"/>
      <c r="AX166" s="10"/>
      <c r="AY166" s="10"/>
      <c r="AZ166" s="10"/>
      <c r="BA166" s="10"/>
      <c r="BB166" s="10"/>
      <c r="BC166" s="10"/>
      <c r="BD166" s="10"/>
      <c r="BE166" s="10"/>
      <c r="BF166" s="10"/>
      <c r="BG166" s="10"/>
      <c r="BH166" s="10"/>
    </row>
    <row r="167" spans="1:60" x14ac:dyDescent="0.2">
      <c r="A167" s="10"/>
      <c r="B167" s="10"/>
      <c r="C167" s="10"/>
      <c r="D167" s="10"/>
      <c r="E167" s="10"/>
      <c r="F167" s="10"/>
      <c r="G167" s="10"/>
      <c r="H167" s="10"/>
      <c r="I167" s="10"/>
      <c r="J167" s="10"/>
      <c r="K167" s="10"/>
      <c r="L167" s="10"/>
      <c r="M167" s="10"/>
      <c r="N167" s="10"/>
      <c r="O167" s="10"/>
      <c r="P167" s="10"/>
      <c r="Q167" s="10"/>
      <c r="R167" s="10"/>
      <c r="S167" s="10"/>
      <c r="T167" s="10"/>
      <c r="U167" s="10"/>
      <c r="V167" s="10"/>
      <c r="W167" s="10"/>
      <c r="X167" s="10"/>
      <c r="Y167" s="10"/>
      <c r="Z167" s="10"/>
      <c r="AA167" s="10"/>
      <c r="AB167" s="10"/>
      <c r="AC167" s="10"/>
      <c r="AD167" s="10"/>
      <c r="AE167" s="10"/>
      <c r="AF167" s="10"/>
      <c r="AG167" s="10"/>
      <c r="AH167" s="10"/>
      <c r="AI167" s="10"/>
      <c r="AJ167" s="10"/>
      <c r="AK167" s="10"/>
      <c r="AL167" s="10"/>
      <c r="AM167" s="10"/>
      <c r="AN167" s="10"/>
      <c r="AO167" s="10"/>
      <c r="AP167" s="10"/>
      <c r="AQ167" s="10"/>
      <c r="AR167" s="10"/>
      <c r="AS167" s="10"/>
      <c r="AT167" s="10"/>
      <c r="AU167" s="10"/>
      <c r="AV167" s="10"/>
      <c r="AW167" s="10"/>
      <c r="AX167" s="10"/>
      <c r="AY167" s="10"/>
      <c r="AZ167" s="10"/>
      <c r="BA167" s="10"/>
      <c r="BB167" s="10"/>
      <c r="BC167" s="10"/>
      <c r="BD167" s="10"/>
      <c r="BE167" s="10"/>
      <c r="BF167" s="10"/>
      <c r="BG167" s="10"/>
      <c r="BH167" s="10"/>
    </row>
    <row r="168" spans="1:60" x14ac:dyDescent="0.2">
      <c r="A168" s="10"/>
      <c r="B168" s="10"/>
      <c r="C168" s="10"/>
      <c r="D168" s="10"/>
      <c r="E168" s="10"/>
      <c r="F168" s="10"/>
      <c r="G168" s="10"/>
      <c r="H168" s="10"/>
      <c r="I168" s="10"/>
      <c r="J168" s="10"/>
      <c r="K168" s="10"/>
      <c r="L168" s="10"/>
      <c r="M168" s="10"/>
      <c r="N168" s="10"/>
      <c r="O168" s="10"/>
      <c r="P168" s="10"/>
      <c r="Q168" s="10"/>
      <c r="R168" s="10"/>
      <c r="S168" s="10"/>
      <c r="T168" s="10"/>
      <c r="U168" s="10"/>
      <c r="V168" s="10"/>
      <c r="W168" s="10"/>
      <c r="X168" s="10"/>
      <c r="Y168" s="10"/>
      <c r="Z168" s="10"/>
      <c r="AA168" s="10"/>
      <c r="AB168" s="10"/>
      <c r="AC168" s="10"/>
      <c r="AD168" s="10"/>
      <c r="AE168" s="10"/>
      <c r="AF168" s="10"/>
      <c r="AG168" s="10"/>
      <c r="AH168" s="10"/>
      <c r="AI168" s="10"/>
      <c r="AJ168" s="10"/>
      <c r="AK168" s="10"/>
      <c r="AL168" s="10"/>
      <c r="AM168" s="10"/>
      <c r="AN168" s="10"/>
      <c r="AO168" s="10"/>
      <c r="AP168" s="10"/>
      <c r="AQ168" s="10"/>
      <c r="AR168" s="10"/>
      <c r="AS168" s="10"/>
      <c r="AT168" s="10"/>
      <c r="AU168" s="10"/>
      <c r="AV168" s="10"/>
      <c r="AW168" s="10"/>
      <c r="AX168" s="10"/>
      <c r="AY168" s="10"/>
      <c r="AZ168" s="10"/>
      <c r="BA168" s="10"/>
      <c r="BB168" s="10"/>
      <c r="BC168" s="10"/>
      <c r="BD168" s="10"/>
      <c r="BE168" s="10"/>
      <c r="BF168" s="10"/>
      <c r="BG168" s="10"/>
      <c r="BH168" s="10"/>
    </row>
    <row r="169" spans="1:60" x14ac:dyDescent="0.2">
      <c r="A169" s="10"/>
      <c r="B169" s="10"/>
      <c r="C169" s="10"/>
      <c r="D169" s="10"/>
      <c r="E169" s="10"/>
      <c r="F169" s="10"/>
      <c r="G169" s="10"/>
      <c r="H169" s="10"/>
      <c r="I169" s="10"/>
      <c r="J169" s="10"/>
      <c r="K169" s="10"/>
      <c r="L169" s="10"/>
      <c r="M169" s="10"/>
      <c r="N169" s="10"/>
      <c r="O169" s="10"/>
      <c r="P169" s="10"/>
      <c r="Q169" s="10"/>
      <c r="R169" s="10"/>
      <c r="S169" s="10"/>
      <c r="T169" s="10"/>
      <c r="U169" s="10"/>
      <c r="V169" s="10"/>
      <c r="W169" s="10"/>
      <c r="X169" s="10"/>
      <c r="Y169" s="10"/>
      <c r="Z169" s="10"/>
      <c r="AA169" s="10"/>
      <c r="AB169" s="10"/>
      <c r="AC169" s="10"/>
      <c r="AD169" s="10"/>
      <c r="AE169" s="10"/>
      <c r="AF169" s="10"/>
      <c r="AG169" s="10"/>
      <c r="AH169" s="10"/>
      <c r="AI169" s="10"/>
      <c r="AJ169" s="10"/>
      <c r="AK169" s="10"/>
      <c r="AL169" s="10"/>
      <c r="AM169" s="10"/>
      <c r="AN169" s="10"/>
      <c r="AO169" s="10"/>
      <c r="AP169" s="10"/>
      <c r="AQ169" s="10"/>
      <c r="AR169" s="10"/>
      <c r="AS169" s="10"/>
      <c r="AT169" s="10"/>
      <c r="AU169" s="10"/>
      <c r="AV169" s="10"/>
      <c r="AW169" s="10"/>
      <c r="AX169" s="10"/>
      <c r="AY169" s="10"/>
      <c r="AZ169" s="10"/>
      <c r="BA169" s="10"/>
      <c r="BB169" s="10"/>
      <c r="BC169" s="10"/>
      <c r="BD169" s="10"/>
      <c r="BE169" s="10"/>
      <c r="BF169" s="10"/>
      <c r="BG169" s="10"/>
      <c r="BH169" s="10"/>
    </row>
    <row r="170" spans="1:60" x14ac:dyDescent="0.2">
      <c r="A170" s="10"/>
      <c r="B170" s="10"/>
      <c r="C170" s="10"/>
      <c r="D170" s="10"/>
      <c r="E170" s="10"/>
      <c r="F170" s="10"/>
      <c r="G170" s="10"/>
      <c r="H170" s="10"/>
      <c r="I170" s="10"/>
      <c r="J170" s="10"/>
      <c r="K170" s="10"/>
      <c r="L170" s="10"/>
      <c r="M170" s="10"/>
      <c r="N170" s="10"/>
      <c r="O170" s="10"/>
      <c r="P170" s="10"/>
      <c r="Q170" s="10"/>
      <c r="R170" s="10"/>
      <c r="S170" s="10"/>
      <c r="T170" s="10"/>
      <c r="U170" s="10"/>
      <c r="V170" s="10"/>
      <c r="W170" s="10"/>
      <c r="X170" s="10"/>
      <c r="Y170" s="10"/>
      <c r="Z170" s="10"/>
      <c r="AA170" s="10"/>
      <c r="AB170" s="10"/>
      <c r="AC170" s="10"/>
      <c r="AD170" s="10"/>
      <c r="AE170" s="10"/>
      <c r="AF170" s="10"/>
      <c r="AG170" s="10"/>
      <c r="AH170" s="10"/>
      <c r="AI170" s="10"/>
      <c r="AJ170" s="10"/>
      <c r="AK170" s="10"/>
      <c r="AL170" s="10"/>
      <c r="AM170" s="10"/>
      <c r="AN170" s="10"/>
      <c r="AO170" s="10"/>
      <c r="AP170" s="10"/>
      <c r="AQ170" s="10"/>
      <c r="AR170" s="10"/>
      <c r="AS170" s="10"/>
      <c r="AT170" s="10"/>
      <c r="AU170" s="10"/>
      <c r="AV170" s="10"/>
      <c r="AW170" s="10"/>
      <c r="AX170" s="10"/>
      <c r="AY170" s="10"/>
      <c r="AZ170" s="10"/>
      <c r="BA170" s="10"/>
      <c r="BB170" s="10"/>
      <c r="BC170" s="10"/>
      <c r="BD170" s="10"/>
      <c r="BE170" s="10"/>
      <c r="BF170" s="10"/>
      <c r="BG170" s="10"/>
      <c r="BH170" s="10"/>
    </row>
    <row r="171" spans="1:60" x14ac:dyDescent="0.2">
      <c r="A171" s="10"/>
      <c r="B171" s="10"/>
      <c r="C171" s="10"/>
      <c r="D171" s="10"/>
      <c r="E171" s="10"/>
      <c r="F171" s="10"/>
      <c r="G171" s="10"/>
      <c r="H171" s="10"/>
      <c r="I171" s="10"/>
      <c r="J171" s="10"/>
      <c r="K171" s="10"/>
      <c r="L171" s="10"/>
      <c r="M171" s="10"/>
      <c r="N171" s="10"/>
      <c r="O171" s="10"/>
      <c r="P171" s="10"/>
      <c r="Q171" s="10"/>
      <c r="R171" s="10"/>
      <c r="S171" s="10"/>
      <c r="T171" s="10"/>
      <c r="U171" s="10"/>
      <c r="V171" s="10"/>
      <c r="W171" s="10"/>
      <c r="X171" s="10"/>
      <c r="Y171" s="10"/>
      <c r="Z171" s="10"/>
      <c r="AA171" s="10"/>
      <c r="AB171" s="10"/>
      <c r="AC171" s="10"/>
      <c r="AD171" s="10"/>
      <c r="AE171" s="10"/>
      <c r="AF171" s="10"/>
      <c r="AG171" s="10"/>
      <c r="AH171" s="10"/>
      <c r="AI171" s="10"/>
      <c r="AJ171" s="10"/>
      <c r="AK171" s="10"/>
      <c r="AL171" s="10"/>
      <c r="AM171" s="10"/>
      <c r="AN171" s="10"/>
      <c r="AO171" s="10"/>
      <c r="AP171" s="10"/>
      <c r="AQ171" s="10"/>
      <c r="AR171" s="10"/>
      <c r="AS171" s="10"/>
      <c r="AT171" s="10"/>
      <c r="AU171" s="10"/>
      <c r="AV171" s="10"/>
      <c r="AW171" s="10"/>
      <c r="AX171" s="10"/>
      <c r="AY171" s="10"/>
      <c r="AZ171" s="10"/>
      <c r="BA171" s="10"/>
      <c r="BB171" s="10"/>
      <c r="BC171" s="10"/>
      <c r="BD171" s="10"/>
      <c r="BE171" s="10"/>
      <c r="BF171" s="10"/>
      <c r="BG171" s="10"/>
      <c r="BH171" s="10"/>
    </row>
    <row r="172" spans="1:60" x14ac:dyDescent="0.2">
      <c r="A172" s="10"/>
      <c r="B172" s="10"/>
      <c r="C172" s="10"/>
      <c r="D172" s="10"/>
      <c r="E172" s="10"/>
      <c r="F172" s="10"/>
      <c r="G172" s="10"/>
      <c r="H172" s="10"/>
      <c r="I172" s="10"/>
      <c r="J172" s="10"/>
      <c r="K172" s="10"/>
      <c r="L172" s="10"/>
      <c r="M172" s="10"/>
      <c r="N172" s="10"/>
      <c r="O172" s="10"/>
      <c r="P172" s="10"/>
      <c r="Q172" s="10"/>
      <c r="R172" s="10"/>
      <c r="S172" s="10"/>
      <c r="T172" s="10"/>
      <c r="U172" s="10"/>
      <c r="V172" s="10"/>
      <c r="W172" s="10"/>
      <c r="X172" s="10"/>
      <c r="Y172" s="10"/>
      <c r="Z172" s="10"/>
      <c r="AA172" s="10"/>
      <c r="AB172" s="10"/>
      <c r="AC172" s="10"/>
      <c r="AD172" s="10"/>
      <c r="AE172" s="10"/>
      <c r="AF172" s="10"/>
      <c r="AG172" s="10"/>
      <c r="AH172" s="10"/>
      <c r="AI172" s="10"/>
      <c r="AJ172" s="10"/>
      <c r="AK172" s="10"/>
      <c r="AL172" s="10"/>
      <c r="AM172" s="10"/>
      <c r="AN172" s="10"/>
      <c r="AO172" s="10"/>
      <c r="AP172" s="10"/>
      <c r="AQ172" s="10"/>
      <c r="AR172" s="10"/>
      <c r="AS172" s="10"/>
      <c r="AT172" s="10"/>
      <c r="AU172" s="10"/>
      <c r="AV172" s="10"/>
      <c r="AW172" s="10"/>
      <c r="AX172" s="10"/>
      <c r="AY172" s="10"/>
      <c r="AZ172" s="10"/>
      <c r="BA172" s="10"/>
      <c r="BB172" s="10"/>
      <c r="BC172" s="10"/>
      <c r="BD172" s="10"/>
      <c r="BE172" s="10"/>
      <c r="BF172" s="10"/>
      <c r="BG172" s="10"/>
      <c r="BH172" s="10"/>
    </row>
    <row r="173" spans="1:60" x14ac:dyDescent="0.2">
      <c r="A173" s="10"/>
      <c r="B173" s="10"/>
      <c r="C173" s="10"/>
      <c r="D173" s="10"/>
      <c r="E173" s="10"/>
      <c r="F173" s="10"/>
      <c r="G173" s="10"/>
      <c r="H173" s="10"/>
      <c r="I173" s="10"/>
      <c r="J173" s="10"/>
      <c r="K173" s="10"/>
      <c r="L173" s="10"/>
      <c r="M173" s="10"/>
      <c r="N173" s="10"/>
      <c r="O173" s="10"/>
      <c r="P173" s="10"/>
      <c r="Q173" s="10"/>
      <c r="R173" s="10"/>
      <c r="S173" s="10"/>
      <c r="T173" s="10"/>
      <c r="U173" s="10"/>
      <c r="V173" s="10"/>
      <c r="W173" s="10"/>
      <c r="X173" s="10"/>
      <c r="Y173" s="10"/>
      <c r="Z173" s="10"/>
      <c r="AA173" s="10"/>
      <c r="AB173" s="10"/>
      <c r="AC173" s="10"/>
      <c r="AD173" s="10"/>
      <c r="AE173" s="10"/>
      <c r="AF173" s="10"/>
      <c r="AG173" s="10"/>
      <c r="AH173" s="10"/>
      <c r="AI173" s="10"/>
      <c r="AJ173" s="10"/>
      <c r="AK173" s="10"/>
      <c r="AL173" s="10"/>
      <c r="AM173" s="10"/>
      <c r="AN173" s="10"/>
      <c r="AO173" s="10"/>
      <c r="AP173" s="10"/>
      <c r="AQ173" s="10"/>
      <c r="AR173" s="10"/>
      <c r="AS173" s="10"/>
      <c r="AT173" s="10"/>
      <c r="AU173" s="10"/>
      <c r="AV173" s="10"/>
      <c r="AW173" s="10"/>
      <c r="AX173" s="10"/>
      <c r="AY173" s="10"/>
      <c r="AZ173" s="10"/>
      <c r="BA173" s="10"/>
      <c r="BB173" s="10"/>
      <c r="BC173" s="10"/>
      <c r="BD173" s="10"/>
      <c r="BE173" s="10"/>
      <c r="BF173" s="10"/>
      <c r="BG173" s="10"/>
      <c r="BH173" s="10"/>
    </row>
    <row r="174" spans="1:60" x14ac:dyDescent="0.2">
      <c r="A174" s="10"/>
      <c r="B174" s="10"/>
      <c r="C174" s="10"/>
      <c r="D174" s="10"/>
      <c r="E174" s="10"/>
      <c r="F174" s="10"/>
      <c r="G174" s="10"/>
      <c r="H174" s="10"/>
      <c r="I174" s="10"/>
      <c r="J174" s="10"/>
      <c r="K174" s="10"/>
      <c r="L174" s="10"/>
      <c r="M174" s="10"/>
      <c r="N174" s="10"/>
      <c r="O174" s="10"/>
      <c r="P174" s="10"/>
      <c r="Q174" s="10"/>
      <c r="R174" s="10"/>
      <c r="S174" s="10"/>
      <c r="T174" s="10"/>
      <c r="U174" s="10"/>
      <c r="V174" s="10"/>
      <c r="W174" s="10"/>
      <c r="X174" s="10"/>
      <c r="Y174" s="10"/>
      <c r="Z174" s="10"/>
      <c r="AA174" s="10"/>
      <c r="AB174" s="10"/>
      <c r="AC174" s="10"/>
      <c r="AD174" s="10"/>
      <c r="AE174" s="10"/>
      <c r="AF174" s="10"/>
      <c r="AG174" s="10"/>
      <c r="AH174" s="10"/>
      <c r="AI174" s="10"/>
      <c r="AJ174" s="10"/>
      <c r="AK174" s="10"/>
      <c r="AL174" s="10"/>
      <c r="AM174" s="10"/>
      <c r="AN174" s="10"/>
      <c r="AO174" s="10"/>
      <c r="AP174" s="10"/>
      <c r="AQ174" s="10"/>
      <c r="AR174" s="10"/>
      <c r="AS174" s="10"/>
      <c r="AT174" s="10"/>
      <c r="AU174" s="10"/>
      <c r="AV174" s="10"/>
      <c r="AW174" s="10"/>
      <c r="AX174" s="10"/>
      <c r="AY174" s="10"/>
      <c r="AZ174" s="10"/>
      <c r="BA174" s="10"/>
      <c r="BB174" s="10"/>
      <c r="BC174" s="10"/>
      <c r="BD174" s="10"/>
      <c r="BE174" s="10"/>
      <c r="BF174" s="10"/>
      <c r="BG174" s="10"/>
      <c r="BH174" s="10"/>
    </row>
    <row r="175" spans="1:60" x14ac:dyDescent="0.2">
      <c r="A175" s="10"/>
      <c r="B175" s="10"/>
      <c r="C175" s="10"/>
      <c r="D175" s="10"/>
      <c r="E175" s="10"/>
      <c r="F175" s="10"/>
      <c r="G175" s="10"/>
      <c r="H175" s="10"/>
      <c r="I175" s="10"/>
      <c r="J175" s="10"/>
      <c r="K175" s="10"/>
      <c r="L175" s="10"/>
      <c r="M175" s="10"/>
      <c r="N175" s="10"/>
      <c r="O175" s="10"/>
      <c r="P175" s="10"/>
      <c r="Q175" s="10"/>
      <c r="R175" s="10"/>
      <c r="S175" s="10"/>
      <c r="T175" s="10"/>
      <c r="U175" s="10"/>
      <c r="V175" s="10"/>
      <c r="W175" s="10"/>
      <c r="X175" s="10"/>
      <c r="Y175" s="10"/>
      <c r="Z175" s="10"/>
      <c r="AA175" s="10"/>
      <c r="AB175" s="10"/>
      <c r="AC175" s="10"/>
      <c r="AD175" s="10"/>
      <c r="AE175" s="10"/>
      <c r="AF175" s="10"/>
      <c r="AG175" s="10"/>
      <c r="AH175" s="10"/>
      <c r="AI175" s="10"/>
      <c r="AJ175" s="10"/>
      <c r="AK175" s="10"/>
      <c r="AL175" s="10"/>
      <c r="AM175" s="10"/>
      <c r="AN175" s="10"/>
      <c r="AO175" s="10"/>
      <c r="AP175" s="10"/>
      <c r="AQ175" s="10"/>
      <c r="AR175" s="10"/>
      <c r="AS175" s="10"/>
      <c r="AT175" s="10"/>
      <c r="AU175" s="10"/>
      <c r="AV175" s="10"/>
      <c r="AW175" s="10"/>
      <c r="AX175" s="10"/>
      <c r="AY175" s="10"/>
      <c r="AZ175" s="10"/>
      <c r="BA175" s="10"/>
      <c r="BB175" s="10"/>
      <c r="BC175" s="10"/>
      <c r="BD175" s="10"/>
      <c r="BE175" s="10"/>
      <c r="BF175" s="10"/>
      <c r="BG175" s="10"/>
      <c r="BH175" s="10"/>
    </row>
    <row r="176" spans="1:60" x14ac:dyDescent="0.2">
      <c r="A176" s="10"/>
      <c r="B176" s="10"/>
      <c r="C176" s="10"/>
      <c r="D176" s="10"/>
      <c r="E176" s="10"/>
      <c r="F176" s="10"/>
      <c r="G176" s="10"/>
      <c r="H176" s="10"/>
      <c r="I176" s="10"/>
      <c r="J176" s="10"/>
      <c r="K176" s="10"/>
      <c r="L176" s="10"/>
      <c r="M176" s="10"/>
      <c r="N176" s="10"/>
      <c r="O176" s="10"/>
      <c r="P176" s="10"/>
      <c r="Q176" s="10"/>
      <c r="R176" s="10"/>
      <c r="S176" s="10"/>
      <c r="T176" s="10"/>
      <c r="U176" s="10"/>
      <c r="V176" s="10"/>
      <c r="W176" s="10"/>
      <c r="X176" s="10"/>
      <c r="Y176" s="10"/>
      <c r="Z176" s="10"/>
      <c r="AA176" s="10"/>
      <c r="AB176" s="10"/>
      <c r="AC176" s="10"/>
      <c r="AD176" s="10"/>
      <c r="AE176" s="10"/>
      <c r="AF176" s="10"/>
      <c r="AG176" s="10"/>
      <c r="AH176" s="10"/>
      <c r="AI176" s="10"/>
      <c r="AJ176" s="10"/>
      <c r="AK176" s="10"/>
      <c r="AL176" s="10"/>
      <c r="AM176" s="10"/>
      <c r="AN176" s="10"/>
      <c r="AO176" s="10"/>
      <c r="AP176" s="10"/>
      <c r="AQ176" s="10"/>
      <c r="AR176" s="10"/>
      <c r="AS176" s="10"/>
      <c r="AT176" s="10"/>
      <c r="AU176" s="10"/>
      <c r="AV176" s="10"/>
      <c r="AW176" s="10"/>
      <c r="AX176" s="10"/>
      <c r="AY176" s="10"/>
      <c r="AZ176" s="10"/>
      <c r="BA176" s="10"/>
      <c r="BB176" s="10"/>
      <c r="BC176" s="10"/>
      <c r="BD176" s="10"/>
      <c r="BE176" s="10"/>
      <c r="BF176" s="10"/>
      <c r="BG176" s="10"/>
      <c r="BH176" s="10"/>
    </row>
    <row r="177" spans="1:60" x14ac:dyDescent="0.2">
      <c r="A177" s="10"/>
      <c r="B177" s="10"/>
      <c r="C177" s="10"/>
      <c r="D177" s="10"/>
      <c r="E177" s="10"/>
      <c r="F177" s="10"/>
      <c r="G177" s="10"/>
      <c r="H177" s="10"/>
      <c r="I177" s="10"/>
      <c r="J177" s="10"/>
      <c r="K177" s="10"/>
      <c r="L177" s="10"/>
      <c r="M177" s="10"/>
      <c r="N177" s="10"/>
      <c r="O177" s="10"/>
      <c r="P177" s="10"/>
      <c r="Q177" s="10"/>
      <c r="R177" s="10"/>
      <c r="S177" s="10"/>
      <c r="T177" s="10"/>
      <c r="U177" s="10"/>
      <c r="V177" s="10"/>
      <c r="W177" s="10"/>
      <c r="X177" s="10"/>
      <c r="Y177" s="10"/>
      <c r="Z177" s="10"/>
      <c r="AA177" s="10"/>
      <c r="AB177" s="10"/>
      <c r="AC177" s="10"/>
      <c r="AD177" s="10"/>
      <c r="AE177" s="10"/>
      <c r="AF177" s="10"/>
      <c r="AG177" s="10"/>
      <c r="AH177" s="10"/>
      <c r="AI177" s="10"/>
      <c r="AJ177" s="10"/>
      <c r="AK177" s="10"/>
      <c r="AL177" s="10"/>
      <c r="AM177" s="10"/>
      <c r="AN177" s="10"/>
      <c r="AO177" s="10"/>
      <c r="AP177" s="10"/>
      <c r="AQ177" s="10"/>
      <c r="AR177" s="10"/>
      <c r="AS177" s="10"/>
      <c r="AT177" s="10"/>
      <c r="AU177" s="10"/>
      <c r="AV177" s="10"/>
      <c r="AW177" s="10"/>
      <c r="AX177" s="10"/>
      <c r="AY177" s="10"/>
      <c r="AZ177" s="10"/>
      <c r="BA177" s="10"/>
      <c r="BB177" s="10"/>
      <c r="BC177" s="10"/>
      <c r="BD177" s="10"/>
      <c r="BE177" s="10"/>
      <c r="BF177" s="10"/>
      <c r="BG177" s="10"/>
      <c r="BH177" s="10"/>
    </row>
    <row r="178" spans="1:60" x14ac:dyDescent="0.2">
      <c r="A178" s="10"/>
      <c r="B178" s="10"/>
      <c r="C178" s="10"/>
      <c r="D178" s="10"/>
      <c r="E178" s="10"/>
      <c r="F178" s="10"/>
      <c r="G178" s="10"/>
      <c r="H178" s="10"/>
      <c r="I178" s="10"/>
      <c r="J178" s="10"/>
      <c r="K178" s="10"/>
      <c r="L178" s="10"/>
      <c r="M178" s="10"/>
      <c r="N178" s="10"/>
      <c r="O178" s="10"/>
      <c r="P178" s="10"/>
      <c r="Q178" s="10"/>
      <c r="R178" s="10"/>
      <c r="S178" s="10"/>
      <c r="T178" s="10"/>
      <c r="U178" s="10"/>
      <c r="V178" s="10"/>
      <c r="W178" s="10"/>
      <c r="X178" s="10"/>
      <c r="Y178" s="10"/>
      <c r="Z178" s="10"/>
      <c r="AA178" s="10"/>
      <c r="AB178" s="10"/>
      <c r="AC178" s="10"/>
      <c r="AD178" s="10"/>
      <c r="AE178" s="10"/>
      <c r="AF178" s="10"/>
      <c r="AG178" s="10"/>
      <c r="AH178" s="10"/>
      <c r="AI178" s="10"/>
      <c r="AJ178" s="10"/>
      <c r="AK178" s="10"/>
      <c r="AL178" s="10"/>
      <c r="AM178" s="10"/>
      <c r="AN178" s="10"/>
      <c r="AO178" s="10"/>
      <c r="AP178" s="10"/>
      <c r="AQ178" s="10"/>
      <c r="AR178" s="10"/>
      <c r="AS178" s="10"/>
      <c r="AT178" s="10"/>
      <c r="AU178" s="10"/>
      <c r="AV178" s="10"/>
      <c r="AW178" s="10"/>
      <c r="AX178" s="10"/>
      <c r="AY178" s="10"/>
      <c r="AZ178" s="10"/>
      <c r="BA178" s="10"/>
      <c r="BB178" s="10"/>
      <c r="BC178" s="10"/>
      <c r="BD178" s="10"/>
      <c r="BE178" s="10"/>
      <c r="BF178" s="10"/>
      <c r="BG178" s="10"/>
      <c r="BH178" s="10"/>
    </row>
    <row r="179" spans="1:60" x14ac:dyDescent="0.2">
      <c r="A179" s="10"/>
      <c r="B179" s="10"/>
      <c r="C179" s="10"/>
      <c r="D179" s="10"/>
      <c r="E179" s="10"/>
      <c r="F179" s="10"/>
      <c r="G179" s="10"/>
      <c r="H179" s="10"/>
      <c r="I179" s="10"/>
      <c r="J179" s="10"/>
      <c r="K179" s="10"/>
      <c r="L179" s="10"/>
      <c r="M179" s="10"/>
      <c r="N179" s="10"/>
      <c r="O179" s="10"/>
      <c r="P179" s="10"/>
      <c r="Q179" s="10"/>
      <c r="R179" s="10"/>
      <c r="S179" s="10"/>
      <c r="T179" s="10"/>
      <c r="U179" s="10"/>
      <c r="V179" s="10"/>
      <c r="W179" s="10"/>
      <c r="X179" s="10"/>
      <c r="Y179" s="10"/>
      <c r="Z179" s="10"/>
      <c r="AA179" s="10"/>
      <c r="AB179" s="10"/>
      <c r="AC179" s="10"/>
      <c r="AD179" s="10"/>
      <c r="AE179" s="10"/>
      <c r="AF179" s="10"/>
      <c r="AG179" s="10"/>
      <c r="AH179" s="10"/>
      <c r="AI179" s="10"/>
      <c r="AJ179" s="10"/>
      <c r="AK179" s="10"/>
      <c r="AL179" s="10"/>
      <c r="AM179" s="10"/>
      <c r="AN179" s="10"/>
      <c r="AO179" s="10"/>
      <c r="AP179" s="10"/>
      <c r="AQ179" s="10"/>
      <c r="AR179" s="10"/>
      <c r="AS179" s="10"/>
      <c r="AT179" s="10"/>
      <c r="AU179" s="10"/>
      <c r="AV179" s="10"/>
      <c r="AW179" s="10"/>
      <c r="AX179" s="10"/>
      <c r="AY179" s="10"/>
      <c r="AZ179" s="10"/>
      <c r="BA179" s="10"/>
      <c r="BB179" s="10"/>
      <c r="BC179" s="10"/>
      <c r="BD179" s="10"/>
      <c r="BE179" s="10"/>
      <c r="BF179" s="10"/>
      <c r="BG179" s="10"/>
      <c r="BH179" s="10"/>
    </row>
    <row r="180" spans="1:60" x14ac:dyDescent="0.2">
      <c r="A180" s="10"/>
      <c r="B180" s="10"/>
      <c r="C180" s="10"/>
      <c r="D180" s="10"/>
      <c r="E180" s="10"/>
      <c r="F180" s="10"/>
      <c r="G180" s="10"/>
      <c r="H180" s="10"/>
      <c r="I180" s="10"/>
      <c r="J180" s="10"/>
      <c r="K180" s="10"/>
      <c r="L180" s="10"/>
      <c r="M180" s="10"/>
      <c r="N180" s="10"/>
      <c r="O180" s="10"/>
      <c r="P180" s="10"/>
      <c r="Q180" s="10"/>
      <c r="R180" s="10"/>
      <c r="S180" s="10"/>
      <c r="T180" s="10"/>
      <c r="U180" s="10"/>
      <c r="V180" s="10"/>
      <c r="W180" s="10"/>
      <c r="X180" s="10"/>
      <c r="Y180" s="10"/>
      <c r="Z180" s="10"/>
      <c r="AA180" s="10"/>
      <c r="AB180" s="10"/>
      <c r="AC180" s="10"/>
      <c r="AD180" s="10"/>
      <c r="AE180" s="10"/>
      <c r="AF180" s="10"/>
      <c r="AG180" s="10"/>
      <c r="AH180" s="10"/>
      <c r="AI180" s="10"/>
      <c r="AJ180" s="10"/>
      <c r="AK180" s="10"/>
      <c r="AL180" s="10"/>
      <c r="AM180" s="10"/>
      <c r="AN180" s="10"/>
      <c r="AO180" s="10"/>
      <c r="AP180" s="10"/>
      <c r="AQ180" s="10"/>
      <c r="AR180" s="10"/>
      <c r="AS180" s="10"/>
      <c r="AT180" s="10"/>
      <c r="AU180" s="10"/>
      <c r="AV180" s="10"/>
      <c r="AW180" s="10"/>
      <c r="AX180" s="10"/>
      <c r="AY180" s="10"/>
      <c r="AZ180" s="10"/>
      <c r="BA180" s="10"/>
      <c r="BB180" s="10"/>
      <c r="BC180" s="10"/>
      <c r="BD180" s="10"/>
      <c r="BE180" s="10"/>
      <c r="BF180" s="10"/>
      <c r="BG180" s="10"/>
      <c r="BH180" s="10"/>
    </row>
    <row r="181" spans="1:60" x14ac:dyDescent="0.2">
      <c r="A181" s="10"/>
      <c r="B181" s="10"/>
      <c r="C181" s="10"/>
      <c r="D181" s="10"/>
      <c r="E181" s="10"/>
      <c r="F181" s="10"/>
      <c r="G181" s="10"/>
      <c r="H181" s="10"/>
      <c r="I181" s="10"/>
      <c r="J181" s="10"/>
      <c r="K181" s="10"/>
      <c r="L181" s="10"/>
      <c r="M181" s="10"/>
      <c r="N181" s="10"/>
      <c r="O181" s="10"/>
      <c r="P181" s="10"/>
      <c r="Q181" s="10"/>
      <c r="R181" s="10"/>
      <c r="S181" s="10"/>
      <c r="T181" s="10"/>
      <c r="U181" s="10"/>
      <c r="V181" s="10"/>
      <c r="W181" s="10"/>
      <c r="X181" s="10"/>
      <c r="Y181" s="10"/>
      <c r="Z181" s="10"/>
      <c r="AA181" s="10"/>
      <c r="AB181" s="10"/>
      <c r="AC181" s="10"/>
      <c r="AD181" s="10"/>
      <c r="AE181" s="10"/>
      <c r="AF181" s="10"/>
      <c r="AG181" s="10"/>
      <c r="AH181" s="10"/>
      <c r="AI181" s="10"/>
      <c r="AJ181" s="10"/>
      <c r="AK181" s="10"/>
      <c r="AL181" s="10"/>
      <c r="AM181" s="10"/>
      <c r="AN181" s="10"/>
      <c r="AO181" s="10"/>
      <c r="AP181" s="10"/>
      <c r="AQ181" s="10"/>
      <c r="AR181" s="10"/>
      <c r="AS181" s="10"/>
      <c r="AT181" s="10"/>
      <c r="AU181" s="10"/>
      <c r="AV181" s="10"/>
      <c r="AW181" s="10"/>
      <c r="AX181" s="10"/>
      <c r="AY181" s="10"/>
      <c r="AZ181" s="10"/>
      <c r="BA181" s="10"/>
      <c r="BB181" s="10"/>
      <c r="BC181" s="10"/>
      <c r="BD181" s="10"/>
      <c r="BE181" s="10"/>
      <c r="BF181" s="10"/>
      <c r="BG181" s="10"/>
      <c r="BH181" s="10"/>
    </row>
    <row r="182" spans="1:60" x14ac:dyDescent="0.2">
      <c r="A182" s="10"/>
      <c r="B182" s="10"/>
      <c r="C182" s="10"/>
      <c r="D182" s="10"/>
      <c r="E182" s="10"/>
      <c r="F182" s="10"/>
      <c r="G182" s="10"/>
      <c r="H182" s="10"/>
      <c r="I182" s="10"/>
      <c r="J182" s="10"/>
      <c r="K182" s="10"/>
      <c r="L182" s="10"/>
      <c r="M182" s="10"/>
      <c r="N182" s="10"/>
      <c r="O182" s="10"/>
      <c r="P182" s="10"/>
      <c r="Q182" s="10"/>
      <c r="R182" s="10"/>
      <c r="S182" s="10"/>
      <c r="T182" s="10"/>
      <c r="U182" s="10"/>
      <c r="V182" s="10"/>
      <c r="W182" s="10"/>
      <c r="X182" s="10"/>
      <c r="Y182" s="10"/>
      <c r="Z182" s="10"/>
      <c r="AA182" s="10"/>
      <c r="AB182" s="10"/>
      <c r="AC182" s="10"/>
      <c r="AD182" s="10"/>
      <c r="AE182" s="10"/>
      <c r="AF182" s="10"/>
      <c r="AG182" s="10"/>
      <c r="AH182" s="10"/>
      <c r="AI182" s="10"/>
      <c r="AJ182" s="10"/>
      <c r="AK182" s="10"/>
      <c r="AL182" s="10"/>
      <c r="AM182" s="10"/>
      <c r="AN182" s="10"/>
      <c r="AO182" s="10"/>
      <c r="AP182" s="10"/>
      <c r="AQ182" s="10"/>
      <c r="AR182" s="10"/>
      <c r="AS182" s="10"/>
      <c r="AT182" s="10"/>
      <c r="AU182" s="10"/>
      <c r="AV182" s="10"/>
      <c r="AW182" s="10"/>
      <c r="AX182" s="10"/>
      <c r="AY182" s="10"/>
      <c r="AZ182" s="10"/>
      <c r="BA182" s="10"/>
      <c r="BB182" s="10"/>
      <c r="BC182" s="10"/>
      <c r="BD182" s="10"/>
      <c r="BE182" s="10"/>
      <c r="BF182" s="10"/>
      <c r="BG182" s="10"/>
      <c r="BH182" s="10"/>
    </row>
    <row r="183" spans="1:60" x14ac:dyDescent="0.2">
      <c r="A183" s="10"/>
      <c r="B183" s="10"/>
      <c r="C183" s="10"/>
      <c r="D183" s="10"/>
      <c r="E183" s="10"/>
      <c r="F183" s="10"/>
      <c r="G183" s="10"/>
      <c r="H183" s="10"/>
      <c r="I183" s="10"/>
      <c r="J183" s="10"/>
      <c r="K183" s="10"/>
      <c r="L183" s="10"/>
      <c r="M183" s="10"/>
      <c r="N183" s="10"/>
      <c r="O183" s="10"/>
      <c r="P183" s="10"/>
      <c r="Q183" s="10"/>
      <c r="R183" s="10"/>
      <c r="S183" s="10"/>
      <c r="T183" s="10"/>
      <c r="U183" s="10"/>
      <c r="V183" s="10"/>
      <c r="W183" s="10"/>
      <c r="X183" s="10"/>
      <c r="Y183" s="10"/>
      <c r="Z183" s="10"/>
      <c r="AA183" s="10"/>
      <c r="AB183" s="10"/>
      <c r="AC183" s="10"/>
      <c r="AD183" s="10"/>
      <c r="AE183" s="10"/>
      <c r="AF183" s="10"/>
      <c r="AG183" s="10"/>
      <c r="AH183" s="10"/>
      <c r="AI183" s="10"/>
      <c r="AJ183" s="10"/>
      <c r="AK183" s="10"/>
      <c r="AL183" s="10"/>
      <c r="AM183" s="10"/>
      <c r="AN183" s="10"/>
      <c r="AO183" s="10"/>
      <c r="AP183" s="10"/>
      <c r="AQ183" s="10"/>
      <c r="AR183" s="10"/>
      <c r="AS183" s="10"/>
      <c r="AT183" s="10"/>
      <c r="AU183" s="10"/>
      <c r="AV183" s="10"/>
      <c r="AW183" s="10"/>
      <c r="AX183" s="10"/>
      <c r="AY183" s="10"/>
      <c r="AZ183" s="10"/>
      <c r="BA183" s="10"/>
      <c r="BB183" s="10"/>
      <c r="BC183" s="10"/>
      <c r="BD183" s="10"/>
      <c r="BE183" s="10"/>
      <c r="BF183" s="10"/>
      <c r="BG183" s="10"/>
      <c r="BH183" s="10"/>
    </row>
    <row r="184" spans="1:60" x14ac:dyDescent="0.2">
      <c r="A184" s="10"/>
      <c r="B184" s="10"/>
      <c r="C184" s="10"/>
      <c r="D184" s="10"/>
      <c r="E184" s="10"/>
      <c r="F184" s="10"/>
      <c r="G184" s="10"/>
      <c r="H184" s="10"/>
      <c r="I184" s="10"/>
      <c r="J184" s="10"/>
      <c r="K184" s="10"/>
      <c r="L184" s="10"/>
      <c r="M184" s="10"/>
      <c r="N184" s="10"/>
      <c r="O184" s="10"/>
      <c r="P184" s="10"/>
      <c r="Q184" s="10"/>
      <c r="R184" s="10"/>
      <c r="S184" s="10"/>
      <c r="T184" s="10"/>
      <c r="U184" s="10"/>
      <c r="V184" s="10"/>
      <c r="W184" s="10"/>
      <c r="X184" s="10"/>
      <c r="Y184" s="10"/>
      <c r="Z184" s="10"/>
      <c r="AA184" s="10"/>
      <c r="AB184" s="10"/>
      <c r="AC184" s="10"/>
      <c r="AD184" s="10"/>
      <c r="AE184" s="10"/>
      <c r="AF184" s="10"/>
      <c r="AG184" s="10"/>
      <c r="AH184" s="10"/>
      <c r="AI184" s="10"/>
      <c r="AJ184" s="10"/>
      <c r="AK184" s="10"/>
      <c r="AL184" s="10"/>
      <c r="AM184" s="10"/>
      <c r="AN184" s="10"/>
      <c r="AO184" s="10"/>
      <c r="AP184" s="10"/>
      <c r="AQ184" s="10"/>
      <c r="AR184" s="10"/>
      <c r="AS184" s="10"/>
      <c r="AT184" s="10"/>
      <c r="AU184" s="10"/>
      <c r="AV184" s="10"/>
      <c r="AW184" s="10"/>
      <c r="AX184" s="10"/>
      <c r="AY184" s="10"/>
      <c r="AZ184" s="10"/>
      <c r="BA184" s="10"/>
      <c r="BB184" s="10"/>
      <c r="BC184" s="10"/>
      <c r="BD184" s="10"/>
      <c r="BE184" s="10"/>
      <c r="BF184" s="10"/>
      <c r="BG184" s="10"/>
      <c r="BH184" s="10"/>
    </row>
    <row r="185" spans="1:60" x14ac:dyDescent="0.2">
      <c r="A185" s="10"/>
      <c r="B185" s="10"/>
      <c r="C185" s="10"/>
      <c r="D185" s="10"/>
      <c r="E185" s="10"/>
      <c r="F185" s="10"/>
      <c r="G185" s="10"/>
      <c r="H185" s="10"/>
      <c r="I185" s="10"/>
      <c r="J185" s="10"/>
      <c r="K185" s="10"/>
      <c r="L185" s="10"/>
      <c r="M185" s="10"/>
      <c r="N185" s="10"/>
      <c r="O185" s="10"/>
      <c r="P185" s="10"/>
      <c r="Q185" s="10"/>
      <c r="R185" s="10"/>
      <c r="S185" s="10"/>
      <c r="T185" s="10"/>
      <c r="U185" s="10"/>
      <c r="V185" s="10"/>
      <c r="W185" s="10"/>
      <c r="X185" s="10"/>
      <c r="Y185" s="10"/>
      <c r="Z185" s="10"/>
      <c r="AA185" s="10"/>
      <c r="AB185" s="10"/>
      <c r="AC185" s="10"/>
      <c r="AD185" s="10"/>
      <c r="AE185" s="10"/>
      <c r="AF185" s="10"/>
      <c r="AG185" s="10"/>
      <c r="AH185" s="10"/>
      <c r="AI185" s="10"/>
      <c r="AJ185" s="10"/>
      <c r="AK185" s="10"/>
      <c r="AL185" s="10"/>
      <c r="AM185" s="10"/>
      <c r="AN185" s="10"/>
      <c r="AO185" s="10"/>
      <c r="AP185" s="10"/>
      <c r="AQ185" s="10"/>
      <c r="AR185" s="10"/>
      <c r="AS185" s="10"/>
      <c r="AT185" s="10"/>
      <c r="AU185" s="10"/>
      <c r="AV185" s="10"/>
      <c r="AW185" s="10"/>
      <c r="AX185" s="10"/>
      <c r="AY185" s="10"/>
      <c r="AZ185" s="10"/>
      <c r="BA185" s="10"/>
      <c r="BB185" s="10"/>
      <c r="BC185" s="10"/>
      <c r="BD185" s="10"/>
      <c r="BE185" s="10"/>
      <c r="BF185" s="10"/>
      <c r="BG185" s="10"/>
      <c r="BH185" s="10"/>
    </row>
    <row r="186" spans="1:60" x14ac:dyDescent="0.2">
      <c r="A186" s="10"/>
      <c r="B186" s="10"/>
      <c r="C186" s="10"/>
      <c r="D186" s="10"/>
      <c r="E186" s="10"/>
      <c r="F186" s="10"/>
      <c r="G186" s="10"/>
      <c r="H186" s="10"/>
      <c r="I186" s="10"/>
      <c r="J186" s="10"/>
      <c r="K186" s="10"/>
      <c r="L186" s="10"/>
      <c r="M186" s="10"/>
      <c r="N186" s="10"/>
      <c r="O186" s="10"/>
      <c r="P186" s="10"/>
      <c r="Q186" s="10"/>
      <c r="R186" s="10"/>
      <c r="S186" s="10"/>
      <c r="T186" s="10"/>
      <c r="U186" s="10"/>
      <c r="V186" s="10"/>
      <c r="W186" s="10"/>
      <c r="X186" s="10"/>
      <c r="Y186" s="10"/>
      <c r="Z186" s="10"/>
      <c r="AA186" s="10"/>
      <c r="AB186" s="10"/>
      <c r="AC186" s="10"/>
      <c r="AD186" s="10"/>
      <c r="AE186" s="10"/>
      <c r="AF186" s="10"/>
      <c r="AG186" s="10"/>
      <c r="AH186" s="10"/>
      <c r="AI186" s="10"/>
      <c r="AJ186" s="10"/>
      <c r="AK186" s="10"/>
      <c r="AL186" s="10"/>
      <c r="AM186" s="10"/>
      <c r="AN186" s="10"/>
      <c r="AO186" s="10"/>
      <c r="AP186" s="10"/>
      <c r="AQ186" s="10"/>
      <c r="AR186" s="10"/>
      <c r="AS186" s="10"/>
      <c r="AT186" s="10"/>
      <c r="AU186" s="10"/>
      <c r="AV186" s="10"/>
      <c r="AW186" s="10"/>
      <c r="AX186" s="10"/>
      <c r="AY186" s="10"/>
      <c r="AZ186" s="10"/>
      <c r="BA186" s="10"/>
      <c r="BB186" s="10"/>
      <c r="BC186" s="10"/>
      <c r="BD186" s="10"/>
      <c r="BE186" s="10"/>
      <c r="BF186" s="10"/>
      <c r="BG186" s="10"/>
      <c r="BH186" s="10"/>
    </row>
    <row r="187" spans="1:60" x14ac:dyDescent="0.2">
      <c r="A187" s="10"/>
      <c r="B187" s="10"/>
      <c r="C187" s="10"/>
      <c r="D187" s="10"/>
      <c r="E187" s="10"/>
      <c r="F187" s="10"/>
      <c r="G187" s="10"/>
      <c r="H187" s="10"/>
      <c r="I187" s="10"/>
      <c r="J187" s="10"/>
      <c r="K187" s="10"/>
      <c r="L187" s="10"/>
      <c r="M187" s="10"/>
      <c r="N187" s="10"/>
      <c r="O187" s="10"/>
      <c r="P187" s="10"/>
      <c r="Q187" s="10"/>
      <c r="R187" s="10"/>
      <c r="S187" s="10"/>
      <c r="T187" s="10"/>
      <c r="U187" s="10"/>
      <c r="V187" s="10"/>
      <c r="W187" s="10"/>
      <c r="X187" s="10"/>
      <c r="Y187" s="10"/>
      <c r="Z187" s="10"/>
      <c r="AA187" s="10"/>
      <c r="AB187" s="10"/>
      <c r="AC187" s="10"/>
      <c r="AD187" s="10"/>
      <c r="AE187" s="10"/>
      <c r="AF187" s="10"/>
      <c r="AG187" s="10"/>
      <c r="AH187" s="10"/>
      <c r="AI187" s="10"/>
      <c r="AJ187" s="10"/>
      <c r="AK187" s="10"/>
      <c r="AL187" s="10"/>
      <c r="AM187" s="10"/>
      <c r="AN187" s="10"/>
      <c r="AO187" s="10"/>
      <c r="AP187" s="10"/>
      <c r="AQ187" s="10"/>
      <c r="AR187" s="10"/>
      <c r="AS187" s="10"/>
      <c r="AT187" s="10"/>
      <c r="AU187" s="10"/>
      <c r="AV187" s="10"/>
      <c r="AW187" s="10"/>
      <c r="AX187" s="10"/>
      <c r="AY187" s="10"/>
      <c r="AZ187" s="10"/>
      <c r="BA187" s="10"/>
      <c r="BB187" s="10"/>
      <c r="BC187" s="10"/>
      <c r="BD187" s="10"/>
      <c r="BE187" s="10"/>
      <c r="BF187" s="10"/>
      <c r="BG187" s="10"/>
      <c r="BH187" s="10"/>
    </row>
    <row r="188" spans="1:60" x14ac:dyDescent="0.2">
      <c r="A188" s="10"/>
      <c r="B188" s="10"/>
      <c r="C188" s="10"/>
      <c r="D188" s="10"/>
      <c r="E188" s="10"/>
      <c r="F188" s="10"/>
      <c r="G188" s="10"/>
      <c r="H188" s="10"/>
      <c r="I188" s="10"/>
      <c r="J188" s="10"/>
      <c r="K188" s="10"/>
      <c r="L188" s="10"/>
      <c r="M188" s="10"/>
      <c r="N188" s="10"/>
      <c r="O188" s="10"/>
      <c r="P188" s="10"/>
      <c r="Q188" s="10"/>
      <c r="R188" s="10"/>
      <c r="S188" s="10"/>
      <c r="T188" s="10"/>
      <c r="U188" s="10"/>
      <c r="V188" s="10"/>
      <c r="W188" s="10"/>
      <c r="X188" s="10"/>
      <c r="Y188" s="10"/>
      <c r="Z188" s="10"/>
      <c r="AA188" s="10"/>
      <c r="AB188" s="10"/>
      <c r="AC188" s="10"/>
      <c r="AD188" s="10"/>
      <c r="AE188" s="10"/>
      <c r="AF188" s="10"/>
      <c r="AG188" s="10"/>
      <c r="AH188" s="10"/>
      <c r="AI188" s="10"/>
      <c r="AJ188" s="10"/>
      <c r="AK188" s="10"/>
      <c r="AL188" s="10"/>
      <c r="AM188" s="10"/>
      <c r="AN188" s="10"/>
      <c r="AO188" s="10"/>
      <c r="AP188" s="10"/>
      <c r="AQ188" s="10"/>
      <c r="AR188" s="10"/>
      <c r="AS188" s="10"/>
      <c r="AT188" s="10"/>
      <c r="AU188" s="10"/>
      <c r="AV188" s="10"/>
      <c r="AW188" s="10"/>
      <c r="AX188" s="10"/>
      <c r="AY188" s="10"/>
      <c r="AZ188" s="10"/>
      <c r="BA188" s="10"/>
      <c r="BB188" s="10"/>
      <c r="BC188" s="10"/>
      <c r="BD188" s="10"/>
      <c r="BE188" s="10"/>
      <c r="BF188" s="10"/>
      <c r="BG188" s="10"/>
      <c r="BH188" s="10"/>
    </row>
    <row r="189" spans="1:60" x14ac:dyDescent="0.2">
      <c r="A189" s="10"/>
      <c r="B189" s="10"/>
      <c r="C189" s="10"/>
      <c r="D189" s="10"/>
      <c r="E189" s="10"/>
      <c r="F189" s="10"/>
      <c r="G189" s="10"/>
      <c r="H189" s="10"/>
      <c r="I189" s="10"/>
      <c r="J189" s="10"/>
      <c r="K189" s="10"/>
      <c r="L189" s="10"/>
      <c r="M189" s="10"/>
      <c r="N189" s="10"/>
      <c r="O189" s="10"/>
      <c r="P189" s="10"/>
      <c r="Q189" s="10"/>
      <c r="R189" s="10"/>
      <c r="S189" s="10"/>
      <c r="T189" s="10"/>
      <c r="U189" s="10"/>
      <c r="V189" s="10"/>
      <c r="W189" s="10"/>
      <c r="X189" s="10"/>
      <c r="Y189" s="10"/>
      <c r="Z189" s="10"/>
      <c r="AA189" s="10"/>
      <c r="AB189" s="10"/>
      <c r="AC189" s="10"/>
      <c r="AD189" s="10"/>
      <c r="AE189" s="10"/>
      <c r="AF189" s="10"/>
      <c r="AG189" s="10"/>
      <c r="AH189" s="10"/>
      <c r="AI189" s="10"/>
      <c r="AJ189" s="10"/>
      <c r="AK189" s="10"/>
      <c r="AL189" s="10"/>
      <c r="AM189" s="10"/>
      <c r="AN189" s="10"/>
      <c r="AO189" s="10"/>
      <c r="AP189" s="10"/>
      <c r="AQ189" s="10"/>
      <c r="AR189" s="10"/>
      <c r="AS189" s="10"/>
      <c r="AT189" s="10"/>
      <c r="AU189" s="10"/>
      <c r="AV189" s="10"/>
      <c r="AW189" s="10"/>
      <c r="AX189" s="10"/>
      <c r="AY189" s="10"/>
      <c r="AZ189" s="10"/>
      <c r="BA189" s="10"/>
      <c r="BB189" s="10"/>
      <c r="BC189" s="10"/>
      <c r="BD189" s="10"/>
      <c r="BE189" s="10"/>
      <c r="BF189" s="10"/>
      <c r="BG189" s="10"/>
      <c r="BH189" s="10"/>
    </row>
    <row r="190" spans="1:60" x14ac:dyDescent="0.2">
      <c r="A190" s="10"/>
      <c r="B190" s="10"/>
      <c r="C190" s="10"/>
      <c r="D190" s="10"/>
      <c r="E190" s="10"/>
      <c r="F190" s="10"/>
      <c r="G190" s="10"/>
      <c r="H190" s="10"/>
      <c r="I190" s="10"/>
      <c r="J190" s="10"/>
      <c r="K190" s="10"/>
      <c r="L190" s="10"/>
      <c r="M190" s="10"/>
      <c r="N190" s="10"/>
      <c r="O190" s="10"/>
      <c r="P190" s="10"/>
      <c r="Q190" s="10"/>
      <c r="R190" s="10"/>
      <c r="S190" s="10"/>
      <c r="T190" s="10"/>
      <c r="U190" s="10"/>
      <c r="V190" s="10"/>
      <c r="W190" s="10"/>
      <c r="X190" s="10"/>
      <c r="Y190" s="10"/>
      <c r="Z190" s="10"/>
      <c r="AA190" s="10"/>
      <c r="AB190" s="10"/>
      <c r="AC190" s="10"/>
      <c r="AD190" s="10"/>
      <c r="AE190" s="10"/>
      <c r="AF190" s="10"/>
      <c r="AG190" s="10"/>
      <c r="AH190" s="10"/>
      <c r="AI190" s="10"/>
      <c r="AJ190" s="10"/>
      <c r="AK190" s="10"/>
      <c r="AL190" s="10"/>
      <c r="AM190" s="10"/>
      <c r="AN190" s="10"/>
      <c r="AO190" s="10"/>
      <c r="AP190" s="10"/>
      <c r="AQ190" s="10"/>
      <c r="AR190" s="10"/>
      <c r="AS190" s="10"/>
      <c r="AT190" s="10"/>
      <c r="AU190" s="10"/>
      <c r="AV190" s="10"/>
      <c r="AW190" s="10"/>
      <c r="AX190" s="10"/>
      <c r="AY190" s="10"/>
      <c r="AZ190" s="10"/>
      <c r="BA190" s="10"/>
      <c r="BB190" s="10"/>
      <c r="BC190" s="10"/>
      <c r="BD190" s="10"/>
      <c r="BE190" s="10"/>
      <c r="BF190" s="10"/>
      <c r="BG190" s="10"/>
      <c r="BH190" s="10"/>
    </row>
    <row r="191" spans="1:60" x14ac:dyDescent="0.2">
      <c r="A191" s="10"/>
      <c r="J191" s="10"/>
      <c r="K191" s="10"/>
      <c r="L191" s="10"/>
      <c r="M191" s="10"/>
      <c r="N191" s="10"/>
      <c r="O191" s="10"/>
      <c r="P191" s="10"/>
      <c r="Q191" s="10"/>
      <c r="R191" s="10"/>
      <c r="S191" s="10"/>
      <c r="T191" s="10"/>
      <c r="U191" s="10"/>
      <c r="V191" s="10"/>
      <c r="W191" s="10"/>
      <c r="X191" s="10"/>
      <c r="Y191" s="10"/>
      <c r="Z191" s="10"/>
      <c r="AA191" s="10"/>
      <c r="AB191" s="10"/>
      <c r="AC191" s="10"/>
      <c r="AD191" s="10"/>
      <c r="AE191" s="10"/>
      <c r="AF191" s="10"/>
      <c r="AG191" s="10"/>
      <c r="AH191" s="10"/>
      <c r="AI191" s="10"/>
      <c r="AJ191" s="10"/>
      <c r="AK191" s="10"/>
      <c r="AL191" s="10"/>
      <c r="AM191" s="10"/>
      <c r="AN191" s="10"/>
      <c r="AO191" s="10"/>
      <c r="AP191" s="10"/>
      <c r="AQ191" s="10"/>
      <c r="AR191" s="10"/>
      <c r="AS191" s="10"/>
      <c r="AT191" s="10"/>
      <c r="AU191" s="10"/>
      <c r="AV191" s="10"/>
      <c r="AW191" s="10"/>
      <c r="AX191" s="10"/>
      <c r="AY191" s="10"/>
      <c r="AZ191" s="10"/>
      <c r="BA191" s="10"/>
      <c r="BB191" s="10"/>
      <c r="BC191" s="10"/>
      <c r="BD191" s="10"/>
      <c r="BE191" s="10"/>
      <c r="BF191" s="10"/>
      <c r="BG191" s="10"/>
      <c r="BH191" s="10"/>
    </row>
    <row r="192" spans="1:60" x14ac:dyDescent="0.2">
      <c r="A192" s="10"/>
      <c r="J192" s="10"/>
      <c r="K192" s="10"/>
      <c r="L192" s="10"/>
      <c r="M192" s="10"/>
      <c r="N192" s="10"/>
      <c r="O192" s="10"/>
      <c r="P192" s="10"/>
      <c r="Q192" s="10"/>
      <c r="R192" s="10"/>
      <c r="S192" s="10"/>
      <c r="T192" s="10"/>
      <c r="U192" s="10"/>
      <c r="V192" s="10"/>
      <c r="W192" s="10"/>
      <c r="X192" s="10"/>
      <c r="Y192" s="10"/>
      <c r="Z192" s="10"/>
      <c r="AA192" s="10"/>
      <c r="AB192" s="10"/>
      <c r="AC192" s="10"/>
      <c r="AD192" s="10"/>
      <c r="AE192" s="10"/>
      <c r="AF192" s="10"/>
      <c r="AG192" s="10"/>
      <c r="AH192" s="10"/>
      <c r="AI192" s="10"/>
      <c r="AJ192" s="10"/>
      <c r="AK192" s="10"/>
      <c r="AL192" s="10"/>
      <c r="AM192" s="10"/>
      <c r="AN192" s="10"/>
      <c r="AO192" s="10"/>
      <c r="AP192" s="10"/>
      <c r="AQ192" s="10"/>
      <c r="AR192" s="10"/>
      <c r="AS192" s="10"/>
      <c r="AT192" s="10"/>
      <c r="AU192" s="10"/>
      <c r="AV192" s="10"/>
      <c r="AW192" s="10"/>
      <c r="AX192" s="10"/>
      <c r="AY192" s="10"/>
      <c r="AZ192" s="10"/>
      <c r="BA192" s="10"/>
      <c r="BB192" s="10"/>
      <c r="BC192" s="10"/>
      <c r="BD192" s="10"/>
      <c r="BE192" s="10"/>
      <c r="BF192" s="10"/>
      <c r="BG192" s="10"/>
      <c r="BH192" s="10"/>
    </row>
    <row r="193" spans="1:60" x14ac:dyDescent="0.2">
      <c r="A193" s="10"/>
      <c r="J193" s="10"/>
      <c r="K193" s="10"/>
      <c r="L193" s="10"/>
      <c r="M193" s="10"/>
      <c r="N193" s="10"/>
      <c r="O193" s="10"/>
      <c r="P193" s="10"/>
      <c r="Q193" s="10"/>
      <c r="R193" s="10"/>
      <c r="S193" s="10"/>
      <c r="T193" s="10"/>
      <c r="U193" s="10"/>
      <c r="V193" s="10"/>
      <c r="W193" s="10"/>
      <c r="X193" s="10"/>
      <c r="Y193" s="10"/>
      <c r="Z193" s="10"/>
      <c r="AA193" s="10"/>
      <c r="AB193" s="10"/>
      <c r="AC193" s="10"/>
      <c r="AD193" s="10"/>
      <c r="AE193" s="10"/>
      <c r="AF193" s="10"/>
      <c r="AG193" s="10"/>
      <c r="AH193" s="10"/>
      <c r="AI193" s="10"/>
      <c r="AJ193" s="10"/>
      <c r="AK193" s="10"/>
      <c r="AL193" s="10"/>
      <c r="AM193" s="10"/>
      <c r="AN193" s="10"/>
      <c r="AO193" s="10"/>
      <c r="AP193" s="10"/>
      <c r="AQ193" s="10"/>
      <c r="AR193" s="10"/>
      <c r="AS193" s="10"/>
      <c r="AT193" s="10"/>
      <c r="AU193" s="10"/>
      <c r="AV193" s="10"/>
      <c r="AW193" s="10"/>
      <c r="AX193" s="10"/>
      <c r="AY193" s="10"/>
      <c r="AZ193" s="10"/>
      <c r="BA193" s="10"/>
      <c r="BB193" s="10"/>
      <c r="BC193" s="10"/>
      <c r="BD193" s="10"/>
      <c r="BE193" s="10"/>
      <c r="BF193" s="10"/>
      <c r="BG193" s="10"/>
      <c r="BH193" s="10"/>
    </row>
    <row r="194" spans="1:60" x14ac:dyDescent="0.2">
      <c r="A194" s="10"/>
      <c r="J194" s="10"/>
      <c r="K194" s="10"/>
      <c r="L194" s="10"/>
      <c r="M194" s="10"/>
      <c r="N194" s="10"/>
      <c r="O194" s="10"/>
      <c r="P194" s="10"/>
      <c r="Q194" s="10"/>
      <c r="R194" s="10"/>
      <c r="S194" s="10"/>
      <c r="T194" s="10"/>
      <c r="U194" s="10"/>
      <c r="V194" s="10"/>
      <c r="W194" s="10"/>
      <c r="X194" s="10"/>
      <c r="Y194" s="10"/>
      <c r="Z194" s="10"/>
      <c r="AA194" s="10"/>
      <c r="AB194" s="10"/>
      <c r="AC194" s="10"/>
      <c r="AD194" s="10"/>
      <c r="AE194" s="10"/>
      <c r="AF194" s="10"/>
      <c r="AG194" s="10"/>
      <c r="AH194" s="10"/>
      <c r="AI194" s="10"/>
      <c r="AJ194" s="10"/>
      <c r="AK194" s="10"/>
      <c r="AL194" s="10"/>
      <c r="AM194" s="10"/>
      <c r="AN194" s="10"/>
      <c r="AO194" s="10"/>
      <c r="AP194" s="10"/>
      <c r="AQ194" s="10"/>
      <c r="AR194" s="10"/>
      <c r="AS194" s="10"/>
      <c r="AT194" s="10"/>
      <c r="AU194" s="10"/>
      <c r="AV194" s="10"/>
      <c r="AW194" s="10"/>
      <c r="AX194" s="10"/>
      <c r="AY194" s="10"/>
      <c r="AZ194" s="10"/>
      <c r="BA194" s="10"/>
      <c r="BB194" s="10"/>
      <c r="BC194" s="10"/>
      <c r="BD194" s="10"/>
      <c r="BE194" s="10"/>
      <c r="BF194" s="10"/>
      <c r="BG194" s="10"/>
      <c r="BH194" s="10"/>
    </row>
    <row r="195" spans="1:60" x14ac:dyDescent="0.2">
      <c r="A195" s="10"/>
      <c r="J195" s="10"/>
      <c r="K195" s="10"/>
      <c r="L195" s="10"/>
      <c r="M195" s="10"/>
      <c r="N195" s="10"/>
      <c r="O195" s="10"/>
      <c r="P195" s="10"/>
      <c r="Q195" s="10"/>
      <c r="R195" s="10"/>
      <c r="S195" s="10"/>
      <c r="T195" s="10"/>
      <c r="U195" s="10"/>
      <c r="V195" s="10"/>
      <c r="W195" s="10"/>
      <c r="X195" s="10"/>
      <c r="Y195" s="10"/>
      <c r="Z195" s="10"/>
      <c r="AA195" s="10"/>
      <c r="AB195" s="10"/>
      <c r="AC195" s="10"/>
      <c r="AD195" s="10"/>
      <c r="AE195" s="10"/>
      <c r="AF195" s="10"/>
      <c r="AG195" s="10"/>
      <c r="AH195" s="10"/>
      <c r="AI195" s="10"/>
      <c r="AJ195" s="10"/>
      <c r="AK195" s="10"/>
      <c r="AL195" s="10"/>
      <c r="AM195" s="10"/>
      <c r="AN195" s="10"/>
      <c r="AO195" s="10"/>
      <c r="AP195" s="10"/>
      <c r="AQ195" s="10"/>
      <c r="AR195" s="10"/>
      <c r="AS195" s="10"/>
      <c r="AT195" s="10"/>
      <c r="AU195" s="10"/>
      <c r="AV195" s="10"/>
      <c r="AW195" s="10"/>
      <c r="AX195" s="10"/>
      <c r="AY195" s="10"/>
      <c r="AZ195" s="10"/>
      <c r="BA195" s="10"/>
      <c r="BB195" s="10"/>
      <c r="BC195" s="10"/>
      <c r="BD195" s="10"/>
      <c r="BE195" s="10"/>
      <c r="BF195" s="10"/>
      <c r="BG195" s="10"/>
      <c r="BH195" s="10"/>
    </row>
    <row r="196" spans="1:60" x14ac:dyDescent="0.2">
      <c r="A196" s="10"/>
      <c r="J196" s="10"/>
      <c r="K196" s="10"/>
      <c r="L196" s="10"/>
      <c r="M196" s="10"/>
      <c r="N196" s="10"/>
      <c r="O196" s="10"/>
      <c r="P196" s="10"/>
      <c r="Q196" s="10"/>
      <c r="R196" s="10"/>
      <c r="S196" s="10"/>
      <c r="T196" s="10"/>
      <c r="U196" s="10"/>
      <c r="V196" s="10"/>
      <c r="W196" s="10"/>
      <c r="X196" s="10"/>
      <c r="Y196" s="10"/>
      <c r="Z196" s="10"/>
      <c r="AA196" s="10"/>
      <c r="AB196" s="10"/>
      <c r="AC196" s="10"/>
      <c r="AD196" s="10"/>
      <c r="AE196" s="10"/>
      <c r="AF196" s="10"/>
      <c r="AG196" s="10"/>
      <c r="AH196" s="10"/>
      <c r="AI196" s="10"/>
      <c r="AJ196" s="10"/>
      <c r="AK196" s="10"/>
      <c r="AL196" s="10"/>
      <c r="AM196" s="10"/>
      <c r="AN196" s="10"/>
      <c r="AO196" s="10"/>
      <c r="AP196" s="10"/>
      <c r="AQ196" s="10"/>
      <c r="AR196" s="10"/>
      <c r="AS196" s="10"/>
      <c r="AT196" s="10"/>
      <c r="AU196" s="10"/>
      <c r="AV196" s="10"/>
      <c r="AW196" s="10"/>
      <c r="AX196" s="10"/>
      <c r="AY196" s="10"/>
      <c r="AZ196" s="10"/>
      <c r="BA196" s="10"/>
      <c r="BB196" s="10"/>
      <c r="BC196" s="10"/>
      <c r="BD196" s="10"/>
      <c r="BE196" s="10"/>
      <c r="BF196" s="10"/>
      <c r="BG196" s="10"/>
      <c r="BH196" s="10"/>
    </row>
    <row r="197" spans="1:60" x14ac:dyDescent="0.2">
      <c r="A197" s="10"/>
      <c r="J197" s="10"/>
      <c r="K197" s="10"/>
      <c r="L197" s="10"/>
      <c r="M197" s="10"/>
      <c r="N197" s="10"/>
      <c r="O197" s="10"/>
      <c r="P197" s="10"/>
      <c r="Q197" s="10"/>
      <c r="R197" s="10"/>
      <c r="S197" s="10"/>
      <c r="T197" s="10"/>
      <c r="U197" s="10"/>
      <c r="V197" s="10"/>
      <c r="W197" s="10"/>
      <c r="X197" s="10"/>
      <c r="Y197" s="10"/>
      <c r="Z197" s="10"/>
      <c r="AA197" s="10"/>
      <c r="AB197" s="10"/>
      <c r="AC197" s="10"/>
      <c r="AD197" s="10"/>
      <c r="AE197" s="10"/>
      <c r="AF197" s="10"/>
      <c r="AG197" s="10"/>
      <c r="AH197" s="10"/>
      <c r="AI197" s="10"/>
      <c r="AJ197" s="10"/>
      <c r="AK197" s="10"/>
      <c r="AL197" s="10"/>
      <c r="AM197" s="10"/>
      <c r="AN197" s="10"/>
      <c r="AO197" s="10"/>
      <c r="AP197" s="10"/>
      <c r="AQ197" s="10"/>
      <c r="AR197" s="10"/>
      <c r="AS197" s="10"/>
      <c r="AT197" s="10"/>
      <c r="AU197" s="10"/>
      <c r="AV197" s="10"/>
      <c r="AW197" s="10"/>
      <c r="AX197" s="10"/>
      <c r="AY197" s="10"/>
      <c r="AZ197" s="10"/>
      <c r="BA197" s="10"/>
      <c r="BB197" s="10"/>
      <c r="BC197" s="10"/>
      <c r="BD197" s="10"/>
      <c r="BE197" s="10"/>
      <c r="BF197" s="10"/>
      <c r="BG197" s="10"/>
      <c r="BH197" s="10"/>
    </row>
    <row r="198" spans="1:60" x14ac:dyDescent="0.2">
      <c r="A198" s="10"/>
      <c r="J198" s="10"/>
      <c r="K198" s="10"/>
      <c r="L198" s="10"/>
      <c r="M198" s="10"/>
      <c r="N198" s="10"/>
      <c r="O198" s="10"/>
      <c r="P198" s="10"/>
      <c r="Q198" s="10"/>
      <c r="R198" s="10"/>
      <c r="S198" s="10"/>
      <c r="T198" s="10"/>
      <c r="U198" s="10"/>
      <c r="V198" s="10"/>
      <c r="W198" s="10"/>
      <c r="X198" s="10"/>
      <c r="Y198" s="10"/>
      <c r="Z198" s="10"/>
      <c r="AA198" s="10"/>
      <c r="AB198" s="10"/>
      <c r="AC198" s="10"/>
      <c r="AD198" s="10"/>
      <c r="AE198" s="10"/>
      <c r="AF198" s="10"/>
      <c r="AG198" s="10"/>
      <c r="AH198" s="10"/>
      <c r="AI198" s="10"/>
      <c r="AJ198" s="10"/>
      <c r="AK198" s="10"/>
      <c r="AL198" s="10"/>
      <c r="AM198" s="10"/>
      <c r="AN198" s="10"/>
      <c r="AO198" s="10"/>
      <c r="AP198" s="10"/>
      <c r="AQ198" s="10"/>
      <c r="AR198" s="10"/>
      <c r="AS198" s="10"/>
      <c r="AT198" s="10"/>
      <c r="AU198" s="10"/>
      <c r="AV198" s="10"/>
      <c r="AW198" s="10"/>
      <c r="AX198" s="10"/>
      <c r="AY198" s="10"/>
      <c r="AZ198" s="10"/>
      <c r="BA198" s="10"/>
      <c r="BB198" s="10"/>
      <c r="BC198" s="10"/>
      <c r="BD198" s="10"/>
      <c r="BE198" s="10"/>
      <c r="BF198" s="10"/>
      <c r="BG198" s="10"/>
      <c r="BH198" s="10"/>
    </row>
    <row r="199" spans="1:60" x14ac:dyDescent="0.2">
      <c r="A199" s="10"/>
      <c r="J199" s="10"/>
      <c r="K199" s="10"/>
      <c r="L199" s="10"/>
      <c r="M199" s="10"/>
      <c r="N199" s="10"/>
      <c r="O199" s="10"/>
      <c r="P199" s="10"/>
      <c r="Q199" s="10"/>
      <c r="R199" s="10"/>
      <c r="S199" s="10"/>
      <c r="T199" s="10"/>
      <c r="U199" s="10"/>
      <c r="V199" s="10"/>
      <c r="W199" s="10"/>
      <c r="X199" s="10"/>
      <c r="Y199" s="10"/>
      <c r="Z199" s="10"/>
      <c r="AA199" s="10"/>
      <c r="AB199" s="10"/>
      <c r="AC199" s="10"/>
      <c r="AD199" s="10"/>
      <c r="AE199" s="10"/>
      <c r="AF199" s="10"/>
      <c r="AG199" s="10"/>
      <c r="AH199" s="10"/>
      <c r="AI199" s="10"/>
      <c r="AJ199" s="10"/>
      <c r="AK199" s="10"/>
      <c r="AL199" s="10"/>
      <c r="AM199" s="10"/>
      <c r="AN199" s="10"/>
      <c r="AO199" s="10"/>
      <c r="AP199" s="10"/>
      <c r="AQ199" s="10"/>
      <c r="AR199" s="10"/>
      <c r="AS199" s="10"/>
      <c r="AT199" s="10"/>
      <c r="AU199" s="10"/>
      <c r="AV199" s="10"/>
      <c r="AW199" s="10"/>
      <c r="AX199" s="10"/>
      <c r="AY199" s="10"/>
      <c r="AZ199" s="10"/>
      <c r="BA199" s="10"/>
      <c r="BB199" s="10"/>
      <c r="BC199" s="10"/>
      <c r="BD199" s="10"/>
      <c r="BE199" s="10"/>
      <c r="BF199" s="10"/>
      <c r="BG199" s="10"/>
      <c r="BH199" s="10"/>
    </row>
    <row r="200" spans="1:60" x14ac:dyDescent="0.2">
      <c r="A200" s="10"/>
      <c r="J200" s="10"/>
      <c r="K200" s="10"/>
      <c r="L200" s="10"/>
      <c r="M200" s="10"/>
      <c r="N200" s="10"/>
      <c r="O200" s="10"/>
      <c r="P200" s="10"/>
      <c r="Q200" s="10"/>
      <c r="R200" s="10"/>
      <c r="S200" s="10"/>
      <c r="T200" s="10"/>
      <c r="U200" s="10"/>
      <c r="V200" s="10"/>
      <c r="W200" s="10"/>
      <c r="X200" s="10"/>
      <c r="Y200" s="10"/>
      <c r="Z200" s="10"/>
      <c r="AA200" s="10"/>
      <c r="AB200" s="10"/>
      <c r="AC200" s="10"/>
      <c r="AD200" s="10"/>
      <c r="AE200" s="10"/>
      <c r="AF200" s="10"/>
      <c r="AG200" s="10"/>
      <c r="AH200" s="10"/>
      <c r="AI200" s="10"/>
      <c r="AJ200" s="10"/>
      <c r="AK200" s="10"/>
      <c r="AL200" s="10"/>
      <c r="AM200" s="10"/>
      <c r="AN200" s="10"/>
      <c r="AO200" s="10"/>
      <c r="AP200" s="10"/>
      <c r="AQ200" s="10"/>
      <c r="AR200" s="10"/>
      <c r="AS200" s="10"/>
      <c r="AT200" s="10"/>
      <c r="AU200" s="10"/>
      <c r="AV200" s="10"/>
      <c r="AW200" s="10"/>
      <c r="AX200" s="10"/>
      <c r="AY200" s="10"/>
      <c r="AZ200" s="10"/>
      <c r="BA200" s="10"/>
      <c r="BB200" s="10"/>
      <c r="BC200" s="10"/>
      <c r="BD200" s="10"/>
      <c r="BE200" s="10"/>
      <c r="BF200" s="10"/>
      <c r="BG200" s="10"/>
      <c r="BH200" s="10"/>
    </row>
    <row r="201" spans="1:60" x14ac:dyDescent="0.2">
      <c r="A201" s="10"/>
      <c r="J201" s="10"/>
      <c r="K201" s="10"/>
      <c r="L201" s="10"/>
      <c r="M201" s="10"/>
      <c r="N201" s="10"/>
      <c r="O201" s="10"/>
      <c r="P201" s="10"/>
      <c r="Q201" s="10"/>
      <c r="R201" s="10"/>
      <c r="S201" s="10"/>
      <c r="T201" s="10"/>
      <c r="U201" s="10"/>
      <c r="V201" s="10"/>
      <c r="W201" s="10"/>
      <c r="X201" s="10"/>
      <c r="Y201" s="10"/>
      <c r="Z201" s="10"/>
      <c r="AA201" s="10"/>
      <c r="AB201" s="10"/>
      <c r="AC201" s="10"/>
      <c r="AD201" s="10"/>
      <c r="AE201" s="10"/>
      <c r="AF201" s="10"/>
      <c r="AG201" s="10"/>
      <c r="AH201" s="10"/>
      <c r="AI201" s="10"/>
      <c r="AJ201" s="10"/>
      <c r="AK201" s="10"/>
      <c r="AL201" s="10"/>
      <c r="AM201" s="10"/>
      <c r="AN201" s="10"/>
      <c r="AO201" s="10"/>
      <c r="AP201" s="10"/>
      <c r="AQ201" s="10"/>
      <c r="AR201" s="10"/>
      <c r="AS201" s="10"/>
      <c r="AT201" s="10"/>
      <c r="AU201" s="10"/>
      <c r="AV201" s="10"/>
      <c r="AW201" s="10"/>
      <c r="AX201" s="10"/>
      <c r="AY201" s="10"/>
      <c r="AZ201" s="10"/>
      <c r="BA201" s="10"/>
      <c r="BB201" s="10"/>
      <c r="BC201" s="10"/>
      <c r="BD201" s="10"/>
      <c r="BE201" s="10"/>
      <c r="BF201" s="10"/>
      <c r="BG201" s="10"/>
      <c r="BH201" s="10"/>
    </row>
    <row r="202" spans="1:60" x14ac:dyDescent="0.2">
      <c r="A202" s="10"/>
      <c r="J202" s="10"/>
      <c r="K202" s="10"/>
      <c r="L202" s="10"/>
      <c r="M202" s="10"/>
      <c r="N202" s="10"/>
      <c r="O202" s="10"/>
      <c r="P202" s="10"/>
      <c r="Q202" s="10"/>
      <c r="R202" s="10"/>
      <c r="S202" s="10"/>
      <c r="T202" s="10"/>
      <c r="U202" s="10"/>
      <c r="V202" s="10"/>
      <c r="W202" s="10"/>
      <c r="X202" s="10"/>
      <c r="Y202" s="10"/>
      <c r="Z202" s="10"/>
      <c r="AA202" s="10"/>
      <c r="AB202" s="10"/>
      <c r="AC202" s="10"/>
      <c r="AD202" s="10"/>
      <c r="AE202" s="10"/>
      <c r="AF202" s="10"/>
      <c r="AG202" s="10"/>
      <c r="AH202" s="10"/>
      <c r="AI202" s="10"/>
      <c r="AJ202" s="10"/>
      <c r="AK202" s="10"/>
      <c r="AL202" s="10"/>
      <c r="AM202" s="10"/>
      <c r="AN202" s="10"/>
      <c r="AO202" s="10"/>
      <c r="AP202" s="10"/>
      <c r="AQ202" s="10"/>
      <c r="AR202" s="10"/>
      <c r="AS202" s="10"/>
      <c r="AT202" s="10"/>
      <c r="AU202" s="10"/>
      <c r="AV202" s="10"/>
      <c r="AW202" s="10"/>
      <c r="AX202" s="10"/>
      <c r="AY202" s="10"/>
      <c r="AZ202" s="10"/>
      <c r="BA202" s="10"/>
      <c r="BB202" s="10"/>
      <c r="BC202" s="10"/>
      <c r="BD202" s="10"/>
      <c r="BE202" s="10"/>
      <c r="BF202" s="10"/>
      <c r="BG202" s="10"/>
      <c r="BH202" s="10"/>
    </row>
    <row r="203" spans="1:60" x14ac:dyDescent="0.2">
      <c r="A203" s="10"/>
      <c r="J203" s="10"/>
      <c r="K203" s="10"/>
      <c r="L203" s="10"/>
      <c r="M203" s="10"/>
      <c r="N203" s="10"/>
      <c r="O203" s="10"/>
      <c r="P203" s="10"/>
      <c r="Q203" s="10"/>
      <c r="R203" s="10"/>
      <c r="S203" s="10"/>
      <c r="T203" s="10"/>
      <c r="U203" s="10"/>
      <c r="V203" s="10"/>
      <c r="W203" s="10"/>
      <c r="X203" s="10"/>
      <c r="Y203" s="10"/>
      <c r="Z203" s="10"/>
      <c r="AA203" s="10"/>
      <c r="AB203" s="10"/>
      <c r="AC203" s="10"/>
      <c r="AD203" s="10"/>
      <c r="AE203" s="10"/>
      <c r="AF203" s="10"/>
      <c r="AG203" s="10"/>
      <c r="AH203" s="10"/>
      <c r="AI203" s="10"/>
      <c r="AJ203" s="10"/>
      <c r="AK203" s="10"/>
      <c r="AL203" s="10"/>
      <c r="AM203" s="10"/>
      <c r="AN203" s="10"/>
      <c r="AO203" s="10"/>
      <c r="AP203" s="10"/>
      <c r="AQ203" s="10"/>
      <c r="AR203" s="10"/>
      <c r="AS203" s="10"/>
      <c r="AT203" s="10"/>
      <c r="AU203" s="10"/>
      <c r="AV203" s="10"/>
      <c r="AW203" s="10"/>
      <c r="AX203" s="10"/>
      <c r="AY203" s="10"/>
      <c r="AZ203" s="10"/>
      <c r="BA203" s="10"/>
      <c r="BB203" s="10"/>
      <c r="BC203" s="10"/>
      <c r="BD203" s="10"/>
      <c r="BE203" s="10"/>
      <c r="BF203" s="10"/>
      <c r="BG203" s="10"/>
      <c r="BH203" s="10"/>
    </row>
    <row r="204" spans="1:60" x14ac:dyDescent="0.2">
      <c r="A204" s="10"/>
      <c r="J204" s="10"/>
      <c r="K204" s="10"/>
      <c r="L204" s="10"/>
      <c r="M204" s="10"/>
      <c r="N204" s="10"/>
      <c r="O204" s="10"/>
      <c r="P204" s="10"/>
      <c r="Q204" s="10"/>
      <c r="R204" s="10"/>
      <c r="S204" s="10"/>
      <c r="T204" s="10"/>
      <c r="U204" s="10"/>
      <c r="V204" s="10"/>
      <c r="W204" s="10"/>
      <c r="X204" s="10"/>
      <c r="Y204" s="10"/>
      <c r="Z204" s="10"/>
      <c r="AA204" s="10"/>
      <c r="AB204" s="10"/>
      <c r="AC204" s="10"/>
      <c r="AD204" s="10"/>
      <c r="AE204" s="10"/>
      <c r="AF204" s="10"/>
      <c r="AG204" s="10"/>
      <c r="AH204" s="10"/>
      <c r="AI204" s="10"/>
      <c r="AJ204" s="10"/>
      <c r="AK204" s="10"/>
      <c r="AL204" s="10"/>
      <c r="AM204" s="10"/>
      <c r="AN204" s="10"/>
      <c r="AO204" s="10"/>
      <c r="AP204" s="10"/>
      <c r="AQ204" s="10"/>
      <c r="AR204" s="10"/>
      <c r="AS204" s="10"/>
      <c r="AT204" s="10"/>
      <c r="AU204" s="10"/>
      <c r="AV204" s="10"/>
      <c r="AW204" s="10"/>
      <c r="AX204" s="10"/>
      <c r="AY204" s="10"/>
      <c r="AZ204" s="10"/>
      <c r="BA204" s="10"/>
      <c r="BB204" s="10"/>
      <c r="BC204" s="10"/>
      <c r="BD204" s="10"/>
      <c r="BE204" s="10"/>
      <c r="BF204" s="10"/>
      <c r="BG204" s="10"/>
      <c r="BH204" s="10"/>
    </row>
    <row r="205" spans="1:60" x14ac:dyDescent="0.2">
      <c r="A205" s="10"/>
      <c r="J205" s="10"/>
      <c r="K205" s="10"/>
      <c r="L205" s="10"/>
      <c r="M205" s="10"/>
      <c r="N205" s="10"/>
      <c r="O205" s="10"/>
      <c r="P205" s="10"/>
      <c r="Q205" s="10"/>
      <c r="R205" s="10"/>
      <c r="S205" s="10"/>
      <c r="T205" s="10"/>
      <c r="U205" s="10"/>
      <c r="V205" s="10"/>
      <c r="W205" s="10"/>
      <c r="X205" s="10"/>
      <c r="Y205" s="10"/>
      <c r="Z205" s="10"/>
      <c r="AA205" s="10"/>
      <c r="AB205" s="10"/>
      <c r="AC205" s="10"/>
      <c r="AD205" s="10"/>
      <c r="AE205" s="10"/>
      <c r="AF205" s="10"/>
      <c r="AG205" s="10"/>
      <c r="AH205" s="10"/>
      <c r="AI205" s="10"/>
      <c r="AJ205" s="10"/>
      <c r="AK205" s="10"/>
      <c r="AL205" s="10"/>
      <c r="AM205" s="10"/>
      <c r="AN205" s="10"/>
      <c r="AO205" s="10"/>
      <c r="AP205" s="10"/>
      <c r="AQ205" s="10"/>
      <c r="AR205" s="10"/>
      <c r="AS205" s="10"/>
      <c r="AT205" s="10"/>
      <c r="AU205" s="10"/>
      <c r="AV205" s="10"/>
      <c r="AW205" s="10"/>
      <c r="AX205" s="10"/>
      <c r="AY205" s="10"/>
      <c r="AZ205" s="10"/>
      <c r="BA205" s="10"/>
      <c r="BB205" s="10"/>
      <c r="BC205" s="10"/>
      <c r="BD205" s="10"/>
      <c r="BE205" s="10"/>
      <c r="BF205" s="10"/>
      <c r="BG205" s="10"/>
      <c r="BH205" s="10"/>
    </row>
    <row r="206" spans="1:60" x14ac:dyDescent="0.2">
      <c r="A206" s="10"/>
      <c r="J206" s="10"/>
      <c r="K206" s="10"/>
      <c r="L206" s="10"/>
      <c r="M206" s="10"/>
      <c r="N206" s="10"/>
      <c r="O206" s="10"/>
      <c r="P206" s="10"/>
      <c r="Q206" s="10"/>
      <c r="R206" s="10"/>
      <c r="S206" s="10"/>
      <c r="T206" s="10"/>
      <c r="U206" s="10"/>
      <c r="V206" s="10"/>
      <c r="W206" s="10"/>
      <c r="X206" s="10"/>
      <c r="Y206" s="10"/>
      <c r="Z206" s="10"/>
      <c r="AA206" s="10"/>
      <c r="AB206" s="10"/>
      <c r="AC206" s="10"/>
      <c r="AD206" s="10"/>
      <c r="AE206" s="10"/>
      <c r="AF206" s="10"/>
      <c r="AG206" s="10"/>
      <c r="AH206" s="10"/>
      <c r="AI206" s="10"/>
      <c r="AJ206" s="10"/>
      <c r="AK206" s="10"/>
      <c r="AL206" s="10"/>
      <c r="AM206" s="10"/>
      <c r="AN206" s="10"/>
      <c r="AO206" s="10"/>
      <c r="AP206" s="10"/>
      <c r="AQ206" s="10"/>
      <c r="AR206" s="10"/>
      <c r="AS206" s="10"/>
      <c r="AT206" s="10"/>
      <c r="AU206" s="10"/>
      <c r="AV206" s="10"/>
      <c r="AW206" s="10"/>
      <c r="AX206" s="10"/>
      <c r="AY206" s="10"/>
      <c r="AZ206" s="10"/>
      <c r="BA206" s="10"/>
      <c r="BB206" s="10"/>
      <c r="BC206" s="10"/>
      <c r="BD206" s="10"/>
      <c r="BE206" s="10"/>
      <c r="BF206" s="10"/>
      <c r="BG206" s="10"/>
      <c r="BH206" s="10"/>
    </row>
    <row r="207" spans="1:60" x14ac:dyDescent="0.2">
      <c r="A207" s="10"/>
      <c r="J207" s="10"/>
      <c r="K207" s="10"/>
      <c r="L207" s="10"/>
      <c r="M207" s="10"/>
      <c r="N207" s="10"/>
      <c r="O207" s="10"/>
      <c r="P207" s="10"/>
      <c r="Q207" s="10"/>
      <c r="R207" s="10"/>
      <c r="S207" s="10"/>
      <c r="T207" s="10"/>
      <c r="U207" s="10"/>
      <c r="V207" s="10"/>
      <c r="W207" s="10"/>
      <c r="X207" s="10"/>
      <c r="Y207" s="10"/>
      <c r="Z207" s="10"/>
      <c r="AA207" s="10"/>
      <c r="AB207" s="10"/>
      <c r="AC207" s="10"/>
      <c r="AD207" s="10"/>
      <c r="AE207" s="10"/>
      <c r="AF207" s="10"/>
      <c r="AG207" s="10"/>
      <c r="AH207" s="10"/>
      <c r="AI207" s="10"/>
      <c r="AJ207" s="10"/>
      <c r="AK207" s="10"/>
      <c r="AL207" s="10"/>
      <c r="AM207" s="10"/>
      <c r="AN207" s="10"/>
      <c r="AO207" s="10"/>
      <c r="AP207" s="10"/>
      <c r="AQ207" s="10"/>
      <c r="AR207" s="10"/>
      <c r="AS207" s="10"/>
      <c r="AT207" s="10"/>
      <c r="AU207" s="10"/>
      <c r="AV207" s="10"/>
      <c r="AW207" s="10"/>
      <c r="AX207" s="10"/>
      <c r="AY207" s="10"/>
      <c r="AZ207" s="10"/>
      <c r="BA207" s="10"/>
      <c r="BB207" s="10"/>
      <c r="BC207" s="10"/>
      <c r="BD207" s="10"/>
      <c r="BE207" s="10"/>
      <c r="BF207" s="10"/>
      <c r="BG207" s="10"/>
      <c r="BH207" s="10"/>
    </row>
    <row r="208" spans="1:60" x14ac:dyDescent="0.2">
      <c r="A208" s="10"/>
      <c r="J208" s="10"/>
      <c r="K208" s="10"/>
      <c r="L208" s="10"/>
      <c r="M208" s="10"/>
      <c r="N208" s="10"/>
      <c r="O208" s="10"/>
      <c r="P208" s="10"/>
      <c r="Q208" s="10"/>
      <c r="R208" s="10"/>
      <c r="S208" s="10"/>
      <c r="T208" s="10"/>
      <c r="U208" s="10"/>
      <c r="V208" s="10"/>
      <c r="W208" s="10"/>
      <c r="X208" s="10"/>
      <c r="Y208" s="10"/>
      <c r="Z208" s="10"/>
      <c r="AA208" s="10"/>
      <c r="AB208" s="10"/>
      <c r="AC208" s="10"/>
      <c r="AD208" s="10"/>
      <c r="AE208" s="10"/>
      <c r="AF208" s="10"/>
      <c r="AG208" s="10"/>
      <c r="AH208" s="10"/>
      <c r="AI208" s="10"/>
      <c r="AJ208" s="10"/>
      <c r="AK208" s="10"/>
      <c r="AL208" s="10"/>
      <c r="AM208" s="10"/>
      <c r="AN208" s="10"/>
      <c r="AO208" s="10"/>
      <c r="AP208" s="10"/>
      <c r="AQ208" s="10"/>
      <c r="AR208" s="10"/>
      <c r="AS208" s="10"/>
      <c r="AT208" s="10"/>
      <c r="AU208" s="10"/>
      <c r="AV208" s="10"/>
      <c r="AW208" s="10"/>
      <c r="AX208" s="10"/>
      <c r="AY208" s="10"/>
      <c r="AZ208" s="10"/>
      <c r="BA208" s="10"/>
      <c r="BB208" s="10"/>
      <c r="BC208" s="10"/>
      <c r="BD208" s="10"/>
      <c r="BE208" s="10"/>
      <c r="BF208" s="10"/>
      <c r="BG208" s="10"/>
      <c r="BH208" s="10"/>
    </row>
    <row r="209" spans="1:60" x14ac:dyDescent="0.2">
      <c r="A209" s="10"/>
      <c r="J209" s="10"/>
      <c r="K209" s="10"/>
      <c r="L209" s="10"/>
      <c r="M209" s="10"/>
      <c r="N209" s="10"/>
      <c r="O209" s="10"/>
      <c r="P209" s="10"/>
      <c r="Q209" s="10"/>
      <c r="R209" s="10"/>
      <c r="S209" s="10"/>
      <c r="T209" s="10"/>
      <c r="U209" s="10"/>
      <c r="V209" s="10"/>
      <c r="W209" s="10"/>
      <c r="X209" s="10"/>
      <c r="Y209" s="10"/>
      <c r="Z209" s="10"/>
      <c r="AA209" s="10"/>
      <c r="AB209" s="10"/>
      <c r="AC209" s="10"/>
      <c r="AD209" s="10"/>
      <c r="AE209" s="10"/>
      <c r="AF209" s="10"/>
      <c r="AG209" s="10"/>
      <c r="AH209" s="10"/>
      <c r="AI209" s="10"/>
      <c r="AJ209" s="10"/>
      <c r="AK209" s="10"/>
      <c r="AL209" s="10"/>
      <c r="AM209" s="10"/>
      <c r="AN209" s="10"/>
      <c r="AO209" s="10"/>
      <c r="AP209" s="10"/>
      <c r="AQ209" s="10"/>
      <c r="AR209" s="10"/>
      <c r="AS209" s="10"/>
      <c r="AT209" s="10"/>
      <c r="AU209" s="10"/>
      <c r="AV209" s="10"/>
      <c r="AW209" s="10"/>
      <c r="AX209" s="10"/>
      <c r="AY209" s="10"/>
      <c r="AZ209" s="10"/>
      <c r="BA209" s="10"/>
      <c r="BB209" s="10"/>
      <c r="BC209" s="10"/>
      <c r="BD209" s="10"/>
      <c r="BE209" s="10"/>
      <c r="BF209" s="10"/>
      <c r="BG209" s="10"/>
      <c r="BH209" s="10"/>
    </row>
    <row r="210" spans="1:60" x14ac:dyDescent="0.2">
      <c r="A210" s="10"/>
      <c r="J210" s="10"/>
      <c r="K210" s="10"/>
      <c r="L210" s="10"/>
      <c r="M210" s="10"/>
      <c r="N210" s="10"/>
      <c r="O210" s="10"/>
      <c r="P210" s="10"/>
      <c r="Q210" s="10"/>
      <c r="R210" s="10"/>
      <c r="S210" s="10"/>
      <c r="T210" s="10"/>
      <c r="U210" s="10"/>
      <c r="V210" s="10"/>
      <c r="W210" s="10"/>
      <c r="X210" s="10"/>
      <c r="Y210" s="10"/>
      <c r="Z210" s="10"/>
      <c r="AA210" s="10"/>
      <c r="AB210" s="10"/>
      <c r="AC210" s="10"/>
      <c r="AD210" s="10"/>
      <c r="AE210" s="10"/>
      <c r="AF210" s="10"/>
      <c r="AG210" s="10"/>
      <c r="AH210" s="10"/>
      <c r="AI210" s="10"/>
      <c r="AJ210" s="10"/>
      <c r="AK210" s="10"/>
      <c r="AL210" s="10"/>
      <c r="AM210" s="10"/>
      <c r="AN210" s="10"/>
      <c r="AO210" s="10"/>
      <c r="AP210" s="10"/>
      <c r="AQ210" s="10"/>
      <c r="AR210" s="10"/>
      <c r="AS210" s="10"/>
      <c r="AT210" s="10"/>
      <c r="AU210" s="10"/>
      <c r="AV210" s="10"/>
      <c r="AW210" s="10"/>
      <c r="AX210" s="10"/>
      <c r="AY210" s="10"/>
      <c r="AZ210" s="10"/>
      <c r="BA210" s="10"/>
      <c r="BB210" s="10"/>
      <c r="BC210" s="10"/>
      <c r="BD210" s="10"/>
      <c r="BE210" s="10"/>
      <c r="BF210" s="10"/>
      <c r="BG210" s="10"/>
      <c r="BH210" s="10"/>
    </row>
    <row r="211" spans="1:60" x14ac:dyDescent="0.2">
      <c r="A211" s="10"/>
      <c r="J211" s="10"/>
      <c r="K211" s="10"/>
      <c r="L211" s="10"/>
      <c r="M211" s="10"/>
      <c r="N211" s="10"/>
      <c r="O211" s="10"/>
      <c r="P211" s="10"/>
      <c r="Q211" s="10"/>
      <c r="R211" s="10"/>
      <c r="S211" s="10"/>
      <c r="T211" s="10"/>
      <c r="U211" s="10"/>
      <c r="V211" s="10"/>
      <c r="W211" s="10"/>
      <c r="X211" s="10"/>
      <c r="Y211" s="10"/>
      <c r="Z211" s="10"/>
      <c r="AA211" s="10"/>
      <c r="AB211" s="10"/>
      <c r="AC211" s="10"/>
      <c r="AD211" s="10"/>
      <c r="AE211" s="10"/>
      <c r="AF211" s="10"/>
      <c r="AG211" s="10"/>
      <c r="AH211" s="10"/>
      <c r="AI211" s="10"/>
      <c r="AJ211" s="10"/>
      <c r="AK211" s="10"/>
      <c r="AL211" s="10"/>
      <c r="AM211" s="10"/>
      <c r="AN211" s="10"/>
      <c r="AO211" s="10"/>
      <c r="AP211" s="10"/>
      <c r="AQ211" s="10"/>
      <c r="AR211" s="10"/>
      <c r="AS211" s="10"/>
      <c r="AT211" s="10"/>
      <c r="AU211" s="10"/>
      <c r="AV211" s="10"/>
      <c r="AW211" s="10"/>
      <c r="AX211" s="10"/>
      <c r="AY211" s="10"/>
      <c r="AZ211" s="10"/>
      <c r="BA211" s="10"/>
      <c r="BB211" s="10"/>
      <c r="BC211" s="10"/>
      <c r="BD211" s="10"/>
      <c r="BE211" s="10"/>
      <c r="BF211" s="10"/>
      <c r="BG211" s="10"/>
      <c r="BH211" s="10"/>
    </row>
    <row r="212" spans="1:60" x14ac:dyDescent="0.2">
      <c r="A212" s="10"/>
      <c r="J212" s="10"/>
      <c r="K212" s="10"/>
      <c r="L212" s="10"/>
      <c r="M212" s="10"/>
      <c r="N212" s="10"/>
      <c r="O212" s="10"/>
      <c r="P212" s="10"/>
      <c r="Q212" s="10"/>
      <c r="R212" s="10"/>
      <c r="S212" s="10"/>
      <c r="T212" s="10"/>
      <c r="U212" s="10"/>
      <c r="V212" s="10"/>
      <c r="W212" s="10"/>
      <c r="X212" s="10"/>
      <c r="Y212" s="10"/>
      <c r="Z212" s="10"/>
      <c r="AA212" s="10"/>
      <c r="AB212" s="10"/>
      <c r="AC212" s="10"/>
      <c r="AD212" s="10"/>
      <c r="AE212" s="10"/>
      <c r="AF212" s="10"/>
      <c r="AG212" s="10"/>
      <c r="AH212" s="10"/>
      <c r="AI212" s="10"/>
      <c r="AJ212" s="10"/>
      <c r="AK212" s="10"/>
      <c r="AL212" s="10"/>
      <c r="AM212" s="10"/>
      <c r="AN212" s="10"/>
      <c r="AO212" s="10"/>
      <c r="AP212" s="10"/>
      <c r="AQ212" s="10"/>
      <c r="AR212" s="10"/>
      <c r="AS212" s="10"/>
      <c r="AT212" s="10"/>
      <c r="AU212" s="10"/>
      <c r="AV212" s="10"/>
      <c r="AW212" s="10"/>
      <c r="AX212" s="10"/>
      <c r="AY212" s="10"/>
      <c r="AZ212" s="10"/>
      <c r="BA212" s="10"/>
      <c r="BB212" s="10"/>
      <c r="BC212" s="10"/>
      <c r="BD212" s="10"/>
      <c r="BE212" s="10"/>
      <c r="BF212" s="10"/>
      <c r="BG212" s="10"/>
      <c r="BH212" s="10"/>
    </row>
    <row r="213" spans="1:60" x14ac:dyDescent="0.2">
      <c r="A213" s="10"/>
      <c r="J213" s="10"/>
      <c r="K213" s="10"/>
      <c r="L213" s="10"/>
      <c r="M213" s="10"/>
      <c r="N213" s="10"/>
      <c r="O213" s="10"/>
      <c r="P213" s="10"/>
      <c r="Q213" s="10"/>
      <c r="R213" s="10"/>
      <c r="S213" s="10"/>
      <c r="T213" s="10"/>
      <c r="U213" s="10"/>
      <c r="V213" s="10"/>
      <c r="W213" s="10"/>
      <c r="X213" s="10"/>
      <c r="Y213" s="10"/>
      <c r="Z213" s="10"/>
      <c r="AA213" s="10"/>
      <c r="AB213" s="10"/>
      <c r="AC213" s="10"/>
      <c r="AD213" s="10"/>
      <c r="AE213" s="10"/>
      <c r="AF213" s="10"/>
      <c r="AG213" s="10"/>
      <c r="AH213" s="10"/>
      <c r="AI213" s="10"/>
      <c r="AJ213" s="10"/>
      <c r="AK213" s="10"/>
      <c r="AL213" s="10"/>
      <c r="AM213" s="10"/>
      <c r="AN213" s="10"/>
      <c r="AO213" s="10"/>
      <c r="AP213" s="10"/>
      <c r="AQ213" s="10"/>
      <c r="AR213" s="10"/>
      <c r="AS213" s="10"/>
      <c r="AT213" s="10"/>
      <c r="AU213" s="10"/>
      <c r="AV213" s="10"/>
      <c r="AW213" s="10"/>
      <c r="AX213" s="10"/>
      <c r="AY213" s="10"/>
      <c r="AZ213" s="10"/>
      <c r="BA213" s="10"/>
      <c r="BB213" s="10"/>
      <c r="BC213" s="10"/>
      <c r="BD213" s="10"/>
      <c r="BE213" s="10"/>
      <c r="BF213" s="10"/>
      <c r="BG213" s="10"/>
      <c r="BH213" s="10"/>
    </row>
    <row r="214" spans="1:60" x14ac:dyDescent="0.2">
      <c r="A214" s="10"/>
      <c r="J214" s="10"/>
      <c r="K214" s="10"/>
      <c r="L214" s="10"/>
      <c r="M214" s="10"/>
      <c r="N214" s="10"/>
      <c r="O214" s="10"/>
      <c r="P214" s="10"/>
      <c r="Q214" s="10"/>
      <c r="R214" s="10"/>
      <c r="S214" s="10"/>
      <c r="T214" s="10"/>
      <c r="U214" s="10"/>
      <c r="V214" s="10"/>
      <c r="W214" s="10"/>
      <c r="X214" s="10"/>
      <c r="Y214" s="10"/>
      <c r="Z214" s="10"/>
      <c r="AA214" s="10"/>
      <c r="AB214" s="10"/>
      <c r="AC214" s="10"/>
      <c r="AD214" s="10"/>
      <c r="AE214" s="10"/>
      <c r="AF214" s="10"/>
      <c r="AG214" s="10"/>
      <c r="AH214" s="10"/>
      <c r="AI214" s="10"/>
      <c r="AJ214" s="10"/>
      <c r="AK214" s="10"/>
      <c r="AL214" s="10"/>
      <c r="AM214" s="10"/>
      <c r="AN214" s="10"/>
      <c r="AO214" s="10"/>
      <c r="AP214" s="10"/>
      <c r="AQ214" s="10"/>
      <c r="AR214" s="10"/>
      <c r="AS214" s="10"/>
      <c r="AT214" s="10"/>
      <c r="AU214" s="10"/>
      <c r="AV214" s="10"/>
      <c r="AW214" s="10"/>
      <c r="AX214" s="10"/>
      <c r="AY214" s="10"/>
      <c r="AZ214" s="10"/>
      <c r="BA214" s="10"/>
      <c r="BB214" s="10"/>
      <c r="BC214" s="10"/>
      <c r="BD214" s="10"/>
      <c r="BE214" s="10"/>
      <c r="BF214" s="10"/>
      <c r="BG214" s="10"/>
      <c r="BH214" s="10"/>
    </row>
    <row r="215" spans="1:60" x14ac:dyDescent="0.2">
      <c r="A215" s="10"/>
      <c r="J215" s="10"/>
      <c r="K215" s="10"/>
      <c r="L215" s="10"/>
      <c r="M215" s="10"/>
      <c r="N215" s="10"/>
      <c r="O215" s="10"/>
      <c r="P215" s="10"/>
      <c r="Q215" s="10"/>
      <c r="R215" s="10"/>
      <c r="S215" s="10"/>
      <c r="T215" s="10"/>
      <c r="U215" s="10"/>
      <c r="V215" s="10"/>
      <c r="W215" s="10"/>
      <c r="X215" s="10"/>
      <c r="Y215" s="10"/>
      <c r="Z215" s="10"/>
      <c r="AA215" s="10"/>
      <c r="AB215" s="10"/>
      <c r="AC215" s="10"/>
      <c r="AD215" s="10"/>
      <c r="AE215" s="10"/>
      <c r="AF215" s="10"/>
      <c r="AG215" s="10"/>
      <c r="AH215" s="10"/>
      <c r="AI215" s="10"/>
      <c r="AJ215" s="10"/>
      <c r="AK215" s="10"/>
      <c r="AL215" s="10"/>
      <c r="AM215" s="10"/>
      <c r="AN215" s="10"/>
      <c r="AO215" s="10"/>
      <c r="AP215" s="10"/>
      <c r="AQ215" s="10"/>
      <c r="AR215" s="10"/>
      <c r="AS215" s="10"/>
      <c r="AT215" s="10"/>
      <c r="AU215" s="10"/>
      <c r="AV215" s="10"/>
      <c r="AW215" s="10"/>
      <c r="AX215" s="10"/>
      <c r="AY215" s="10"/>
      <c r="AZ215" s="10"/>
      <c r="BA215" s="10"/>
      <c r="BB215" s="10"/>
      <c r="BC215" s="10"/>
      <c r="BD215" s="10"/>
      <c r="BE215" s="10"/>
      <c r="BF215" s="10"/>
      <c r="BG215" s="10"/>
      <c r="BH215" s="10"/>
    </row>
    <row r="216" spans="1:60" x14ac:dyDescent="0.2">
      <c r="A216" s="10"/>
      <c r="J216" s="10"/>
      <c r="K216" s="10"/>
      <c r="L216" s="10"/>
      <c r="M216" s="10"/>
      <c r="N216" s="10"/>
      <c r="O216" s="10"/>
      <c r="P216" s="10"/>
      <c r="Q216" s="10"/>
      <c r="R216" s="10"/>
      <c r="S216" s="10"/>
      <c r="T216" s="10"/>
      <c r="U216" s="10"/>
      <c r="V216" s="10"/>
      <c r="W216" s="10"/>
      <c r="X216" s="10"/>
      <c r="Y216" s="10"/>
      <c r="Z216" s="10"/>
      <c r="AA216" s="10"/>
      <c r="AB216" s="10"/>
      <c r="AC216" s="10"/>
      <c r="AD216" s="10"/>
      <c r="AE216" s="10"/>
      <c r="AF216" s="10"/>
      <c r="AG216" s="10"/>
      <c r="AH216" s="10"/>
      <c r="AI216" s="10"/>
      <c r="AJ216" s="10"/>
      <c r="AK216" s="10"/>
      <c r="AL216" s="10"/>
      <c r="AM216" s="10"/>
      <c r="AN216" s="10"/>
      <c r="AO216" s="10"/>
      <c r="AP216" s="10"/>
      <c r="AQ216" s="10"/>
      <c r="AR216" s="10"/>
      <c r="AS216" s="10"/>
      <c r="AT216" s="10"/>
      <c r="AU216" s="10"/>
      <c r="AV216" s="10"/>
      <c r="AW216" s="10"/>
      <c r="AX216" s="10"/>
      <c r="AY216" s="10"/>
      <c r="AZ216" s="10"/>
      <c r="BA216" s="10"/>
      <c r="BB216" s="10"/>
      <c r="BC216" s="10"/>
      <c r="BD216" s="10"/>
      <c r="BE216" s="10"/>
      <c r="BF216" s="10"/>
      <c r="BG216" s="10"/>
      <c r="BH216" s="10"/>
    </row>
    <row r="217" spans="1:60" x14ac:dyDescent="0.2">
      <c r="A217" s="10"/>
      <c r="J217" s="10"/>
      <c r="K217" s="10"/>
      <c r="L217" s="10"/>
      <c r="M217" s="10"/>
      <c r="N217" s="10"/>
      <c r="O217" s="10"/>
      <c r="P217" s="10"/>
      <c r="Q217" s="10"/>
      <c r="R217" s="10"/>
      <c r="S217" s="10"/>
      <c r="T217" s="10"/>
      <c r="U217" s="10"/>
      <c r="V217" s="10"/>
      <c r="W217" s="10"/>
      <c r="X217" s="10"/>
      <c r="Y217" s="10"/>
      <c r="Z217" s="10"/>
      <c r="AA217" s="10"/>
      <c r="AB217" s="10"/>
      <c r="AC217" s="10"/>
      <c r="AD217" s="10"/>
      <c r="AE217" s="10"/>
      <c r="AF217" s="10"/>
      <c r="AG217" s="10"/>
      <c r="AH217" s="10"/>
      <c r="AI217" s="10"/>
      <c r="AJ217" s="10"/>
      <c r="AK217" s="10"/>
      <c r="AL217" s="10"/>
      <c r="AM217" s="10"/>
      <c r="AN217" s="10"/>
      <c r="AO217" s="10"/>
      <c r="AP217" s="10"/>
      <c r="AQ217" s="10"/>
      <c r="AR217" s="10"/>
      <c r="AS217" s="10"/>
      <c r="AT217" s="10"/>
      <c r="AU217" s="10"/>
      <c r="AV217" s="10"/>
      <c r="AW217" s="10"/>
      <c r="AX217" s="10"/>
      <c r="AY217" s="10"/>
      <c r="AZ217" s="10"/>
      <c r="BA217" s="10"/>
      <c r="BB217" s="10"/>
      <c r="BC217" s="10"/>
      <c r="BD217" s="10"/>
      <c r="BE217" s="10"/>
      <c r="BF217" s="10"/>
      <c r="BG217" s="10"/>
      <c r="BH217" s="10"/>
    </row>
    <row r="218" spans="1:60" x14ac:dyDescent="0.2">
      <c r="A218" s="10"/>
      <c r="J218" s="10"/>
      <c r="K218" s="10"/>
      <c r="L218" s="10"/>
      <c r="M218" s="10"/>
      <c r="N218" s="10"/>
      <c r="O218" s="10"/>
      <c r="P218" s="10"/>
      <c r="Q218" s="10"/>
      <c r="R218" s="10"/>
      <c r="S218" s="10"/>
      <c r="T218" s="10"/>
      <c r="U218" s="10"/>
      <c r="V218" s="10"/>
      <c r="W218" s="10"/>
      <c r="X218" s="10"/>
      <c r="Y218" s="10"/>
      <c r="Z218" s="10"/>
      <c r="AA218" s="10"/>
      <c r="AB218" s="10"/>
      <c r="AC218" s="10"/>
      <c r="AD218" s="10"/>
      <c r="AE218" s="10"/>
      <c r="AF218" s="10"/>
      <c r="AG218" s="10"/>
      <c r="AH218" s="10"/>
      <c r="AI218" s="10"/>
      <c r="AJ218" s="10"/>
      <c r="AK218" s="10"/>
      <c r="AL218" s="10"/>
      <c r="AM218" s="10"/>
      <c r="AN218" s="10"/>
      <c r="AO218" s="10"/>
      <c r="AP218" s="10"/>
      <c r="AQ218" s="10"/>
      <c r="AR218" s="10"/>
      <c r="AS218" s="10"/>
      <c r="AT218" s="10"/>
      <c r="AU218" s="10"/>
      <c r="AV218" s="10"/>
      <c r="AW218" s="10"/>
      <c r="AX218" s="10"/>
      <c r="AY218" s="10"/>
      <c r="AZ218" s="10"/>
      <c r="BA218" s="10"/>
      <c r="BB218" s="10"/>
      <c r="BC218" s="10"/>
      <c r="BD218" s="10"/>
      <c r="BE218" s="10"/>
      <c r="BF218" s="10"/>
      <c r="BG218" s="10"/>
      <c r="BH218" s="10"/>
    </row>
    <row r="219" spans="1:60" x14ac:dyDescent="0.2">
      <c r="A219" s="10"/>
      <c r="J219" s="10"/>
      <c r="K219" s="10"/>
      <c r="L219" s="10"/>
      <c r="M219" s="10"/>
      <c r="N219" s="10"/>
      <c r="O219" s="10"/>
      <c r="P219" s="10"/>
      <c r="Q219" s="10"/>
      <c r="R219" s="10"/>
      <c r="S219" s="10"/>
      <c r="T219" s="10"/>
      <c r="U219" s="10"/>
      <c r="V219" s="10"/>
      <c r="W219" s="10"/>
      <c r="X219" s="10"/>
      <c r="Y219" s="10"/>
      <c r="Z219" s="10"/>
      <c r="AA219" s="10"/>
      <c r="AB219" s="10"/>
      <c r="AC219" s="10"/>
      <c r="AD219" s="10"/>
      <c r="AE219" s="10"/>
      <c r="AF219" s="10"/>
      <c r="AG219" s="10"/>
      <c r="AH219" s="10"/>
      <c r="AI219" s="10"/>
      <c r="AJ219" s="10"/>
      <c r="AK219" s="10"/>
      <c r="AL219" s="10"/>
      <c r="AM219" s="10"/>
      <c r="AN219" s="10"/>
      <c r="AO219" s="10"/>
      <c r="AP219" s="10"/>
      <c r="AQ219" s="10"/>
      <c r="AR219" s="10"/>
      <c r="AS219" s="10"/>
      <c r="AT219" s="10"/>
      <c r="AU219" s="10"/>
      <c r="AV219" s="10"/>
      <c r="AW219" s="10"/>
      <c r="AX219" s="10"/>
      <c r="AY219" s="10"/>
      <c r="AZ219" s="10"/>
      <c r="BA219" s="10"/>
      <c r="BB219" s="10"/>
      <c r="BC219" s="10"/>
      <c r="BD219" s="10"/>
      <c r="BE219" s="10"/>
      <c r="BF219" s="10"/>
      <c r="BG219" s="10"/>
      <c r="BH219" s="10"/>
    </row>
    <row r="220" spans="1:60" x14ac:dyDescent="0.2">
      <c r="A220" s="10"/>
      <c r="J220" s="10"/>
      <c r="K220" s="10"/>
      <c r="L220" s="10"/>
      <c r="M220" s="10"/>
      <c r="N220" s="10"/>
      <c r="O220" s="10"/>
      <c r="P220" s="10"/>
      <c r="Q220" s="10"/>
      <c r="R220" s="10"/>
      <c r="S220" s="10"/>
      <c r="T220" s="10"/>
      <c r="U220" s="10"/>
      <c r="V220" s="10"/>
      <c r="W220" s="10"/>
      <c r="X220" s="10"/>
      <c r="Y220" s="10"/>
      <c r="Z220" s="10"/>
      <c r="AA220" s="10"/>
      <c r="AB220" s="10"/>
      <c r="AC220" s="10"/>
      <c r="AD220" s="10"/>
      <c r="AE220" s="10"/>
      <c r="AF220" s="10"/>
      <c r="AG220" s="10"/>
      <c r="AH220" s="10"/>
      <c r="AI220" s="10"/>
      <c r="AJ220" s="10"/>
      <c r="AK220" s="10"/>
      <c r="AL220" s="10"/>
      <c r="AM220" s="10"/>
      <c r="AN220" s="10"/>
      <c r="AO220" s="10"/>
      <c r="AP220" s="10"/>
      <c r="AQ220" s="10"/>
      <c r="AR220" s="10"/>
      <c r="AS220" s="10"/>
      <c r="AT220" s="10"/>
      <c r="AU220" s="10"/>
      <c r="AV220" s="10"/>
      <c r="AW220" s="10"/>
      <c r="AX220" s="10"/>
      <c r="AY220" s="10"/>
      <c r="AZ220" s="10"/>
      <c r="BA220" s="10"/>
      <c r="BB220" s="10"/>
      <c r="BC220" s="10"/>
      <c r="BD220" s="10"/>
      <c r="BE220" s="10"/>
      <c r="BF220" s="10"/>
      <c r="BG220" s="10"/>
      <c r="BH220" s="10"/>
    </row>
    <row r="221" spans="1:60" x14ac:dyDescent="0.2">
      <c r="A221" s="10"/>
      <c r="J221" s="10"/>
      <c r="K221" s="10"/>
      <c r="L221" s="10"/>
      <c r="M221" s="10"/>
      <c r="N221" s="10"/>
      <c r="O221" s="10"/>
      <c r="P221" s="10"/>
      <c r="Q221" s="10"/>
      <c r="R221" s="10"/>
      <c r="S221" s="10"/>
      <c r="T221" s="10"/>
      <c r="U221" s="10"/>
      <c r="V221" s="10"/>
      <c r="W221" s="10"/>
      <c r="X221" s="10"/>
      <c r="Y221" s="10"/>
      <c r="Z221" s="10"/>
      <c r="AA221" s="10"/>
      <c r="AB221" s="10"/>
      <c r="AC221" s="10"/>
      <c r="AD221" s="10"/>
      <c r="AE221" s="10"/>
      <c r="AF221" s="10"/>
      <c r="AG221" s="10"/>
      <c r="AH221" s="10"/>
      <c r="AI221" s="10"/>
      <c r="AJ221" s="10"/>
      <c r="AK221" s="10"/>
      <c r="AL221" s="10"/>
      <c r="AM221" s="10"/>
      <c r="AN221" s="10"/>
      <c r="AO221" s="10"/>
      <c r="AP221" s="10"/>
      <c r="AQ221" s="10"/>
      <c r="AR221" s="10"/>
      <c r="AS221" s="10"/>
      <c r="AT221" s="10"/>
      <c r="AU221" s="10"/>
      <c r="AV221" s="10"/>
      <c r="AW221" s="10"/>
      <c r="AX221" s="10"/>
      <c r="AY221" s="10"/>
      <c r="AZ221" s="10"/>
      <c r="BA221" s="10"/>
      <c r="BB221" s="10"/>
      <c r="BC221" s="10"/>
      <c r="BD221" s="10"/>
      <c r="BE221" s="10"/>
      <c r="BF221" s="10"/>
      <c r="BG221" s="10"/>
      <c r="BH221" s="10"/>
    </row>
    <row r="222" spans="1:60" x14ac:dyDescent="0.2">
      <c r="A222" s="10"/>
      <c r="J222" s="10"/>
      <c r="K222" s="10"/>
      <c r="L222" s="10"/>
      <c r="M222" s="10"/>
      <c r="N222" s="10"/>
      <c r="O222" s="10"/>
      <c r="P222" s="10"/>
      <c r="Q222" s="10"/>
      <c r="R222" s="10"/>
      <c r="S222" s="10"/>
      <c r="T222" s="10"/>
      <c r="U222" s="10"/>
      <c r="V222" s="10"/>
      <c r="W222" s="10"/>
      <c r="X222" s="10"/>
      <c r="Y222" s="10"/>
      <c r="Z222" s="10"/>
      <c r="AA222" s="10"/>
      <c r="AB222" s="10"/>
      <c r="AC222" s="10"/>
      <c r="AD222" s="10"/>
      <c r="AE222" s="10"/>
      <c r="AF222" s="10"/>
      <c r="AG222" s="10"/>
      <c r="AH222" s="10"/>
      <c r="AI222" s="10"/>
      <c r="AJ222" s="10"/>
      <c r="AK222" s="10"/>
      <c r="AL222" s="10"/>
      <c r="AM222" s="10"/>
      <c r="AN222" s="10"/>
      <c r="AO222" s="10"/>
      <c r="AP222" s="10"/>
      <c r="AQ222" s="10"/>
      <c r="AR222" s="10"/>
      <c r="AS222" s="10"/>
      <c r="AT222" s="10"/>
      <c r="AU222" s="10"/>
      <c r="AV222" s="10"/>
      <c r="AW222" s="10"/>
      <c r="AX222" s="10"/>
      <c r="AY222" s="10"/>
      <c r="AZ222" s="10"/>
      <c r="BA222" s="10"/>
      <c r="BB222" s="10"/>
      <c r="BC222" s="10"/>
      <c r="BD222" s="10"/>
      <c r="BE222" s="10"/>
      <c r="BF222" s="10"/>
      <c r="BG222" s="10"/>
      <c r="BH222" s="10"/>
    </row>
    <row r="223" spans="1:60" x14ac:dyDescent="0.2">
      <c r="A223" s="10"/>
      <c r="J223" s="10"/>
      <c r="K223" s="10"/>
      <c r="L223" s="10"/>
      <c r="M223" s="10"/>
      <c r="N223" s="10"/>
      <c r="O223" s="10"/>
      <c r="P223" s="10"/>
      <c r="Q223" s="10"/>
      <c r="R223" s="10"/>
      <c r="S223" s="10"/>
      <c r="T223" s="10"/>
      <c r="U223" s="10"/>
      <c r="V223" s="10"/>
      <c r="W223" s="10"/>
      <c r="X223" s="10"/>
      <c r="Y223" s="10"/>
      <c r="Z223" s="10"/>
      <c r="AA223" s="10"/>
      <c r="AB223" s="10"/>
      <c r="AC223" s="10"/>
      <c r="AD223" s="10"/>
      <c r="AE223" s="10"/>
      <c r="AF223" s="10"/>
      <c r="AG223" s="10"/>
      <c r="AH223" s="10"/>
      <c r="AI223" s="10"/>
      <c r="AJ223" s="10"/>
      <c r="AK223" s="10"/>
      <c r="AL223" s="10"/>
      <c r="AM223" s="10"/>
      <c r="AN223" s="10"/>
      <c r="AO223" s="10"/>
      <c r="AP223" s="10"/>
      <c r="AQ223" s="10"/>
      <c r="AR223" s="10"/>
      <c r="AS223" s="10"/>
      <c r="AT223" s="10"/>
      <c r="AU223" s="10"/>
      <c r="AV223" s="10"/>
      <c r="AW223" s="10"/>
      <c r="AX223" s="10"/>
      <c r="AY223" s="10"/>
      <c r="AZ223" s="10"/>
      <c r="BA223" s="10"/>
      <c r="BB223" s="10"/>
      <c r="BC223" s="10"/>
      <c r="BD223" s="10"/>
      <c r="BE223" s="10"/>
      <c r="BF223" s="10"/>
      <c r="BG223" s="10"/>
      <c r="BH223" s="10"/>
    </row>
    <row r="224" spans="1:60" x14ac:dyDescent="0.2">
      <c r="A224" s="10"/>
      <c r="J224" s="10"/>
      <c r="K224" s="10"/>
      <c r="L224" s="10"/>
      <c r="M224" s="10"/>
      <c r="N224" s="10"/>
      <c r="O224" s="10"/>
      <c r="P224" s="10"/>
      <c r="Q224" s="10"/>
      <c r="R224" s="10"/>
      <c r="S224" s="10"/>
      <c r="T224" s="10"/>
      <c r="U224" s="10"/>
      <c r="V224" s="10"/>
      <c r="W224" s="10"/>
      <c r="X224" s="10"/>
      <c r="Y224" s="10"/>
      <c r="Z224" s="10"/>
      <c r="AA224" s="10"/>
      <c r="AB224" s="10"/>
      <c r="AC224" s="10"/>
      <c r="AD224" s="10"/>
      <c r="AE224" s="10"/>
      <c r="AF224" s="10"/>
      <c r="AG224" s="10"/>
      <c r="AH224" s="10"/>
      <c r="AI224" s="10"/>
      <c r="AJ224" s="10"/>
      <c r="AK224" s="10"/>
      <c r="AL224" s="10"/>
      <c r="AM224" s="10"/>
      <c r="AN224" s="10"/>
      <c r="AO224" s="10"/>
      <c r="AP224" s="10"/>
      <c r="AQ224" s="10"/>
      <c r="AR224" s="10"/>
      <c r="AS224" s="10"/>
      <c r="AT224" s="10"/>
      <c r="AU224" s="10"/>
      <c r="AV224" s="10"/>
      <c r="AW224" s="10"/>
      <c r="AX224" s="10"/>
      <c r="AY224" s="10"/>
      <c r="AZ224" s="10"/>
      <c r="BA224" s="10"/>
      <c r="BB224" s="10"/>
      <c r="BC224" s="10"/>
      <c r="BD224" s="10"/>
      <c r="BE224" s="10"/>
      <c r="BF224" s="10"/>
      <c r="BG224" s="10"/>
      <c r="BH224" s="10"/>
    </row>
    <row r="225" spans="1:60" x14ac:dyDescent="0.2">
      <c r="A225" s="10"/>
      <c r="J225" s="10"/>
      <c r="K225" s="10"/>
      <c r="L225" s="10"/>
      <c r="M225" s="10"/>
      <c r="N225" s="10"/>
      <c r="O225" s="10"/>
      <c r="P225" s="10"/>
      <c r="Q225" s="10"/>
      <c r="R225" s="10"/>
      <c r="S225" s="10"/>
      <c r="T225" s="10"/>
      <c r="U225" s="10"/>
      <c r="V225" s="10"/>
      <c r="W225" s="10"/>
      <c r="X225" s="10"/>
      <c r="Y225" s="10"/>
      <c r="Z225" s="10"/>
      <c r="AA225" s="10"/>
      <c r="AB225" s="10"/>
      <c r="AC225" s="10"/>
      <c r="AD225" s="10"/>
      <c r="AE225" s="10"/>
      <c r="AF225" s="10"/>
      <c r="AG225" s="10"/>
      <c r="AH225" s="10"/>
      <c r="AI225" s="10"/>
      <c r="AJ225" s="10"/>
      <c r="AK225" s="10"/>
      <c r="AL225" s="10"/>
      <c r="AM225" s="10"/>
      <c r="AN225" s="10"/>
      <c r="AO225" s="10"/>
      <c r="AP225" s="10"/>
      <c r="AQ225" s="10"/>
      <c r="AR225" s="10"/>
      <c r="AS225" s="10"/>
      <c r="AT225" s="10"/>
      <c r="AU225" s="10"/>
      <c r="AV225" s="10"/>
      <c r="AW225" s="10"/>
      <c r="AX225" s="10"/>
      <c r="AY225" s="10"/>
      <c r="AZ225" s="10"/>
      <c r="BA225" s="10"/>
      <c r="BB225" s="10"/>
      <c r="BC225" s="10"/>
      <c r="BD225" s="10"/>
      <c r="BE225" s="10"/>
      <c r="BF225" s="10"/>
      <c r="BG225" s="10"/>
      <c r="BH225" s="10"/>
    </row>
    <row r="226" spans="1:60" x14ac:dyDescent="0.2">
      <c r="A226" s="10"/>
      <c r="J226" s="10"/>
      <c r="K226" s="10"/>
      <c r="L226" s="10"/>
      <c r="M226" s="10"/>
      <c r="N226" s="10"/>
      <c r="O226" s="10"/>
      <c r="P226" s="10"/>
      <c r="Q226" s="10"/>
      <c r="R226" s="10"/>
      <c r="S226" s="10"/>
      <c r="T226" s="10"/>
      <c r="U226" s="10"/>
      <c r="V226" s="10"/>
      <c r="W226" s="10"/>
      <c r="X226" s="10"/>
      <c r="Y226" s="10"/>
      <c r="Z226" s="10"/>
      <c r="AA226" s="10"/>
      <c r="AB226" s="10"/>
      <c r="AC226" s="10"/>
      <c r="AD226" s="10"/>
      <c r="AE226" s="10"/>
      <c r="AF226" s="10"/>
      <c r="AG226" s="10"/>
      <c r="AH226" s="10"/>
      <c r="AI226" s="10"/>
      <c r="AJ226" s="10"/>
      <c r="AK226" s="10"/>
      <c r="AL226" s="10"/>
      <c r="AM226" s="10"/>
      <c r="AN226" s="10"/>
      <c r="AO226" s="10"/>
      <c r="AP226" s="10"/>
      <c r="AQ226" s="10"/>
      <c r="AR226" s="10"/>
      <c r="AS226" s="10"/>
      <c r="AT226" s="10"/>
      <c r="AU226" s="10"/>
      <c r="AV226" s="10"/>
      <c r="AW226" s="10"/>
      <c r="AX226" s="10"/>
      <c r="AY226" s="10"/>
      <c r="AZ226" s="10"/>
      <c r="BA226" s="10"/>
      <c r="BB226" s="10"/>
      <c r="BC226" s="10"/>
      <c r="BD226" s="10"/>
      <c r="BE226" s="10"/>
      <c r="BF226" s="10"/>
      <c r="BG226" s="10"/>
      <c r="BH226" s="10"/>
    </row>
    <row r="227" spans="1:60" x14ac:dyDescent="0.2">
      <c r="A227" s="10"/>
      <c r="J227" s="10"/>
      <c r="K227" s="10"/>
      <c r="L227" s="10"/>
      <c r="M227" s="10"/>
      <c r="N227" s="10"/>
      <c r="O227" s="10"/>
      <c r="P227" s="10"/>
      <c r="Q227" s="10"/>
      <c r="R227" s="10"/>
      <c r="S227" s="10"/>
      <c r="T227" s="10"/>
      <c r="U227" s="10"/>
      <c r="V227" s="10"/>
      <c r="W227" s="10"/>
      <c r="X227" s="10"/>
      <c r="Y227" s="10"/>
      <c r="Z227" s="10"/>
      <c r="AA227" s="10"/>
      <c r="AB227" s="10"/>
      <c r="AC227" s="10"/>
      <c r="AD227" s="10"/>
      <c r="AE227" s="10"/>
      <c r="AF227" s="10"/>
      <c r="AG227" s="10"/>
      <c r="AH227" s="10"/>
      <c r="AI227" s="10"/>
      <c r="AJ227" s="10"/>
      <c r="AK227" s="10"/>
      <c r="AL227" s="10"/>
      <c r="AM227" s="10"/>
      <c r="AN227" s="10"/>
      <c r="AO227" s="10"/>
      <c r="AP227" s="10"/>
      <c r="AQ227" s="10"/>
      <c r="AR227" s="10"/>
      <c r="AS227" s="10"/>
      <c r="AT227" s="10"/>
      <c r="AU227" s="10"/>
      <c r="AV227" s="10"/>
      <c r="AW227" s="10"/>
      <c r="AX227" s="10"/>
      <c r="AY227" s="10"/>
      <c r="AZ227" s="10"/>
      <c r="BA227" s="10"/>
      <c r="BB227" s="10"/>
      <c r="BC227" s="10"/>
      <c r="BD227" s="10"/>
      <c r="BE227" s="10"/>
      <c r="BF227" s="10"/>
      <c r="BG227" s="10"/>
      <c r="BH227" s="10"/>
    </row>
    <row r="228" spans="1:60" x14ac:dyDescent="0.2">
      <c r="A228" s="10"/>
      <c r="J228" s="10"/>
      <c r="K228" s="10"/>
      <c r="L228" s="10"/>
      <c r="M228" s="10"/>
      <c r="N228" s="10"/>
      <c r="O228" s="10"/>
      <c r="P228" s="10"/>
      <c r="Q228" s="10"/>
      <c r="R228" s="10"/>
      <c r="S228" s="10"/>
      <c r="T228" s="10"/>
      <c r="U228" s="10"/>
      <c r="V228" s="10"/>
      <c r="W228" s="10"/>
      <c r="X228" s="10"/>
      <c r="Y228" s="10"/>
      <c r="Z228" s="10"/>
      <c r="AA228" s="10"/>
      <c r="AB228" s="10"/>
      <c r="AC228" s="10"/>
      <c r="AD228" s="10"/>
      <c r="AE228" s="10"/>
      <c r="AF228" s="10"/>
      <c r="AG228" s="10"/>
      <c r="AH228" s="10"/>
      <c r="AI228" s="10"/>
      <c r="AJ228" s="10"/>
      <c r="AK228" s="10"/>
      <c r="AL228" s="10"/>
      <c r="AM228" s="10"/>
      <c r="AN228" s="10"/>
      <c r="AO228" s="10"/>
      <c r="AP228" s="10"/>
      <c r="AQ228" s="10"/>
      <c r="AR228" s="10"/>
      <c r="AS228" s="10"/>
      <c r="AT228" s="10"/>
      <c r="AU228" s="10"/>
      <c r="AV228" s="10"/>
      <c r="AW228" s="10"/>
      <c r="AX228" s="10"/>
      <c r="AY228" s="10"/>
      <c r="AZ228" s="10"/>
      <c r="BA228" s="10"/>
      <c r="BB228" s="10"/>
      <c r="BC228" s="10"/>
      <c r="BD228" s="10"/>
      <c r="BE228" s="10"/>
      <c r="BF228" s="10"/>
      <c r="BG228" s="10"/>
      <c r="BH228" s="10"/>
    </row>
    <row r="229" spans="1:60" x14ac:dyDescent="0.2">
      <c r="A229" s="10"/>
      <c r="J229" s="10"/>
      <c r="K229" s="10"/>
      <c r="L229" s="10"/>
      <c r="M229" s="10"/>
      <c r="N229" s="10"/>
      <c r="O229" s="10"/>
      <c r="P229" s="10"/>
      <c r="Q229" s="10"/>
      <c r="R229" s="10"/>
      <c r="S229" s="10"/>
      <c r="T229" s="10"/>
      <c r="U229" s="10"/>
      <c r="V229" s="10"/>
      <c r="W229" s="10"/>
      <c r="X229" s="10"/>
      <c r="Y229" s="10"/>
      <c r="Z229" s="10"/>
      <c r="AA229" s="10"/>
      <c r="AB229" s="10"/>
      <c r="AC229" s="10"/>
      <c r="AD229" s="10"/>
      <c r="AE229" s="10"/>
      <c r="AF229" s="10"/>
      <c r="AG229" s="10"/>
      <c r="AH229" s="10"/>
      <c r="AI229" s="10"/>
      <c r="AJ229" s="10"/>
      <c r="AK229" s="10"/>
      <c r="AL229" s="10"/>
      <c r="AM229" s="10"/>
      <c r="AN229" s="10"/>
      <c r="AO229" s="10"/>
      <c r="AP229" s="10"/>
      <c r="AQ229" s="10"/>
      <c r="AR229" s="10"/>
      <c r="AS229" s="10"/>
      <c r="AT229" s="10"/>
      <c r="AU229" s="10"/>
      <c r="AV229" s="10"/>
      <c r="AW229" s="10"/>
      <c r="AX229" s="10"/>
      <c r="AY229" s="10"/>
      <c r="AZ229" s="10"/>
      <c r="BA229" s="10"/>
      <c r="BB229" s="10"/>
      <c r="BC229" s="10"/>
      <c r="BD229" s="10"/>
      <c r="BE229" s="10"/>
      <c r="BF229" s="10"/>
      <c r="BG229" s="10"/>
      <c r="BH229" s="10"/>
    </row>
    <row r="230" spans="1:60" x14ac:dyDescent="0.2">
      <c r="A230" s="10"/>
      <c r="J230" s="10"/>
      <c r="K230" s="10"/>
      <c r="L230" s="10"/>
      <c r="M230" s="10"/>
      <c r="N230" s="10"/>
      <c r="O230" s="10"/>
      <c r="P230" s="10"/>
      <c r="Q230" s="10"/>
      <c r="R230" s="10"/>
      <c r="S230" s="10"/>
      <c r="T230" s="10"/>
      <c r="U230" s="10"/>
      <c r="V230" s="10"/>
      <c r="W230" s="10"/>
      <c r="X230" s="10"/>
      <c r="Y230" s="10"/>
      <c r="Z230" s="10"/>
      <c r="AA230" s="10"/>
      <c r="AB230" s="10"/>
      <c r="AC230" s="10"/>
      <c r="AD230" s="10"/>
      <c r="AE230" s="10"/>
      <c r="AF230" s="10"/>
      <c r="AG230" s="10"/>
      <c r="AH230" s="10"/>
      <c r="AI230" s="10"/>
      <c r="AJ230" s="10"/>
      <c r="AK230" s="10"/>
      <c r="AL230" s="10"/>
      <c r="AM230" s="10"/>
      <c r="AN230" s="10"/>
      <c r="AO230" s="10"/>
      <c r="AP230" s="10"/>
      <c r="AQ230" s="10"/>
      <c r="AR230" s="10"/>
      <c r="AS230" s="10"/>
      <c r="AT230" s="10"/>
      <c r="AU230" s="10"/>
      <c r="AV230" s="10"/>
      <c r="AW230" s="10"/>
      <c r="AX230" s="10"/>
      <c r="AY230" s="10"/>
      <c r="AZ230" s="10"/>
      <c r="BA230" s="10"/>
      <c r="BB230" s="10"/>
      <c r="BC230" s="10"/>
      <c r="BD230" s="10"/>
      <c r="BE230" s="10"/>
      <c r="BF230" s="10"/>
      <c r="BG230" s="10"/>
      <c r="BH230" s="10"/>
    </row>
    <row r="231" spans="1:60" x14ac:dyDescent="0.2">
      <c r="A231" s="10"/>
      <c r="J231" s="10"/>
      <c r="K231" s="10"/>
      <c r="L231" s="10"/>
      <c r="M231" s="10"/>
      <c r="N231" s="10"/>
      <c r="O231" s="10"/>
      <c r="P231" s="10"/>
      <c r="Q231" s="10"/>
      <c r="R231" s="10"/>
      <c r="S231" s="10"/>
      <c r="T231" s="10"/>
      <c r="U231" s="10"/>
      <c r="V231" s="10"/>
      <c r="W231" s="10"/>
      <c r="X231" s="10"/>
      <c r="Y231" s="10"/>
      <c r="Z231" s="10"/>
      <c r="AA231" s="10"/>
      <c r="AB231" s="10"/>
      <c r="AC231" s="10"/>
      <c r="AD231" s="10"/>
      <c r="AE231" s="10"/>
      <c r="AF231" s="10"/>
      <c r="AG231" s="10"/>
      <c r="AH231" s="10"/>
      <c r="AI231" s="10"/>
      <c r="AJ231" s="10"/>
      <c r="AK231" s="10"/>
      <c r="AL231" s="10"/>
      <c r="AM231" s="10"/>
      <c r="AN231" s="10"/>
      <c r="AO231" s="10"/>
      <c r="AP231" s="10"/>
      <c r="AQ231" s="10"/>
      <c r="AR231" s="10"/>
      <c r="AS231" s="10"/>
      <c r="AT231" s="10"/>
      <c r="AU231" s="10"/>
      <c r="AV231" s="10"/>
      <c r="AW231" s="10"/>
      <c r="AX231" s="10"/>
      <c r="AY231" s="10"/>
      <c r="AZ231" s="10"/>
      <c r="BA231" s="10"/>
      <c r="BB231" s="10"/>
      <c r="BC231" s="10"/>
      <c r="BD231" s="10"/>
      <c r="BE231" s="10"/>
      <c r="BF231" s="10"/>
      <c r="BG231" s="10"/>
      <c r="BH231" s="10"/>
    </row>
    <row r="232" spans="1:60" x14ac:dyDescent="0.2">
      <c r="A232" s="10"/>
      <c r="J232" s="10"/>
      <c r="K232" s="10"/>
      <c r="L232" s="10"/>
      <c r="M232" s="10"/>
      <c r="N232" s="10"/>
      <c r="O232" s="10"/>
      <c r="P232" s="10"/>
      <c r="Q232" s="10"/>
      <c r="R232" s="10"/>
      <c r="S232" s="10"/>
      <c r="T232" s="10"/>
      <c r="U232" s="10"/>
      <c r="V232" s="10"/>
      <c r="W232" s="10"/>
      <c r="X232" s="10"/>
      <c r="Y232" s="10"/>
      <c r="Z232" s="10"/>
      <c r="AA232" s="10"/>
      <c r="AB232" s="10"/>
      <c r="AC232" s="10"/>
      <c r="AD232" s="10"/>
      <c r="AE232" s="10"/>
      <c r="AF232" s="10"/>
      <c r="AG232" s="10"/>
      <c r="AH232" s="10"/>
      <c r="AI232" s="10"/>
      <c r="AJ232" s="10"/>
      <c r="AK232" s="10"/>
      <c r="AL232" s="10"/>
      <c r="AM232" s="10"/>
      <c r="AN232" s="10"/>
      <c r="AO232" s="10"/>
      <c r="AP232" s="10"/>
      <c r="AQ232" s="10"/>
      <c r="AR232" s="10"/>
      <c r="AS232" s="10"/>
      <c r="AT232" s="10"/>
      <c r="AU232" s="10"/>
      <c r="AV232" s="10"/>
      <c r="AW232" s="10"/>
      <c r="AX232" s="10"/>
      <c r="AY232" s="10"/>
      <c r="AZ232" s="10"/>
      <c r="BA232" s="10"/>
      <c r="BB232" s="10"/>
      <c r="BC232" s="10"/>
      <c r="BD232" s="10"/>
      <c r="BE232" s="10"/>
      <c r="BF232" s="10"/>
      <c r="BG232" s="10"/>
      <c r="BH232" s="10"/>
    </row>
    <row r="233" spans="1:60" x14ac:dyDescent="0.2">
      <c r="A233" s="10"/>
      <c r="J233" s="10"/>
      <c r="K233" s="10"/>
      <c r="L233" s="10"/>
      <c r="M233" s="10"/>
      <c r="N233" s="10"/>
      <c r="O233" s="10"/>
      <c r="P233" s="10"/>
      <c r="Q233" s="10"/>
      <c r="R233" s="10"/>
      <c r="S233" s="10"/>
      <c r="T233" s="10"/>
      <c r="U233" s="10"/>
      <c r="V233" s="10"/>
      <c r="W233" s="10"/>
      <c r="X233" s="10"/>
      <c r="Y233" s="10"/>
      <c r="Z233" s="10"/>
      <c r="AA233" s="10"/>
      <c r="AB233" s="10"/>
      <c r="AC233" s="10"/>
      <c r="AD233" s="10"/>
      <c r="AE233" s="10"/>
      <c r="AF233" s="10"/>
      <c r="AG233" s="10"/>
      <c r="AH233" s="10"/>
      <c r="AI233" s="10"/>
      <c r="AJ233" s="10"/>
      <c r="AK233" s="10"/>
      <c r="AL233" s="10"/>
      <c r="AM233" s="10"/>
      <c r="AN233" s="10"/>
      <c r="AO233" s="10"/>
      <c r="AP233" s="10"/>
      <c r="AQ233" s="10"/>
      <c r="AR233" s="10"/>
      <c r="AS233" s="10"/>
      <c r="AT233" s="10"/>
      <c r="AU233" s="10"/>
      <c r="AV233" s="10"/>
      <c r="AW233" s="10"/>
      <c r="AX233" s="10"/>
      <c r="AY233" s="10"/>
      <c r="AZ233" s="10"/>
      <c r="BA233" s="10"/>
      <c r="BB233" s="10"/>
      <c r="BC233" s="10"/>
      <c r="BD233" s="10"/>
      <c r="BE233" s="10"/>
      <c r="BF233" s="10"/>
      <c r="BG233" s="10"/>
      <c r="BH233" s="10"/>
    </row>
    <row r="234" spans="1:60" x14ac:dyDescent="0.2">
      <c r="A234" s="10"/>
      <c r="J234" s="10"/>
      <c r="K234" s="10"/>
      <c r="L234" s="10"/>
      <c r="M234" s="10"/>
      <c r="N234" s="10"/>
      <c r="O234" s="10"/>
      <c r="P234" s="10"/>
      <c r="Q234" s="10"/>
      <c r="R234" s="10"/>
      <c r="S234" s="10"/>
      <c r="T234" s="10"/>
      <c r="U234" s="10"/>
      <c r="V234" s="10"/>
      <c r="W234" s="10"/>
      <c r="X234" s="10"/>
      <c r="Y234" s="10"/>
      <c r="Z234" s="10"/>
      <c r="AA234" s="10"/>
      <c r="AB234" s="10"/>
      <c r="AC234" s="10"/>
      <c r="AD234" s="10"/>
      <c r="AE234" s="10"/>
      <c r="AF234" s="10"/>
      <c r="AG234" s="10"/>
      <c r="AH234" s="10"/>
      <c r="AI234" s="10"/>
      <c r="AJ234" s="10"/>
      <c r="AK234" s="10"/>
      <c r="AL234" s="10"/>
      <c r="AM234" s="10"/>
      <c r="AN234" s="10"/>
      <c r="AO234" s="10"/>
      <c r="AP234" s="10"/>
      <c r="AQ234" s="10"/>
      <c r="AR234" s="10"/>
      <c r="AS234" s="10"/>
      <c r="AT234" s="10"/>
      <c r="AU234" s="10"/>
      <c r="AV234" s="10"/>
      <c r="AW234" s="10"/>
      <c r="AX234" s="10"/>
      <c r="AY234" s="10"/>
      <c r="AZ234" s="10"/>
      <c r="BA234" s="10"/>
      <c r="BB234" s="10"/>
      <c r="BC234" s="10"/>
      <c r="BD234" s="10"/>
      <c r="BE234" s="10"/>
      <c r="BF234" s="10"/>
      <c r="BG234" s="10"/>
      <c r="BH234" s="10"/>
    </row>
    <row r="235" spans="1:60" x14ac:dyDescent="0.2">
      <c r="A235" s="10"/>
      <c r="J235" s="10"/>
      <c r="K235" s="10"/>
      <c r="L235" s="10"/>
      <c r="M235" s="10"/>
      <c r="N235" s="10"/>
      <c r="O235" s="10"/>
      <c r="P235" s="10"/>
      <c r="Q235" s="10"/>
      <c r="R235" s="10"/>
      <c r="S235" s="10"/>
      <c r="T235" s="10"/>
      <c r="U235" s="10"/>
      <c r="V235" s="10"/>
      <c r="W235" s="10"/>
      <c r="X235" s="10"/>
      <c r="Y235" s="10"/>
      <c r="Z235" s="10"/>
      <c r="AA235" s="10"/>
      <c r="AB235" s="10"/>
      <c r="AC235" s="10"/>
      <c r="AD235" s="10"/>
      <c r="AE235" s="10"/>
      <c r="AF235" s="10"/>
      <c r="AG235" s="10"/>
      <c r="AH235" s="10"/>
      <c r="AI235" s="10"/>
      <c r="AJ235" s="10"/>
      <c r="AK235" s="10"/>
      <c r="AL235" s="10"/>
      <c r="AM235" s="10"/>
      <c r="AN235" s="10"/>
      <c r="AO235" s="10"/>
      <c r="AP235" s="10"/>
      <c r="AQ235" s="10"/>
      <c r="AR235" s="10"/>
      <c r="AS235" s="10"/>
      <c r="AT235" s="10"/>
      <c r="AU235" s="10"/>
      <c r="AV235" s="10"/>
      <c r="AW235" s="10"/>
      <c r="AX235" s="10"/>
      <c r="AY235" s="10"/>
      <c r="AZ235" s="10"/>
      <c r="BA235" s="10"/>
      <c r="BB235" s="10"/>
      <c r="BC235" s="10"/>
      <c r="BD235" s="10"/>
      <c r="BE235" s="10"/>
      <c r="BF235" s="10"/>
      <c r="BG235" s="10"/>
      <c r="BH235" s="10"/>
    </row>
    <row r="236" spans="1:60" x14ac:dyDescent="0.2">
      <c r="A236" s="10"/>
      <c r="J236" s="10"/>
      <c r="K236" s="10"/>
      <c r="L236" s="10"/>
      <c r="M236" s="10"/>
      <c r="N236" s="10"/>
      <c r="O236" s="10"/>
      <c r="P236" s="10"/>
      <c r="Q236" s="10"/>
      <c r="R236" s="10"/>
      <c r="S236" s="10"/>
      <c r="T236" s="10"/>
      <c r="U236" s="10"/>
      <c r="V236" s="10"/>
      <c r="W236" s="10"/>
      <c r="X236" s="10"/>
      <c r="Y236" s="10"/>
      <c r="Z236" s="10"/>
      <c r="AA236" s="10"/>
      <c r="AB236" s="10"/>
      <c r="AC236" s="10"/>
      <c r="AD236" s="10"/>
      <c r="AE236" s="10"/>
      <c r="AF236" s="10"/>
      <c r="AG236" s="10"/>
      <c r="AH236" s="10"/>
      <c r="AI236" s="10"/>
      <c r="AJ236" s="10"/>
      <c r="AK236" s="10"/>
      <c r="AL236" s="10"/>
      <c r="AM236" s="10"/>
      <c r="AN236" s="10"/>
      <c r="AO236" s="10"/>
      <c r="AP236" s="10"/>
      <c r="AQ236" s="10"/>
      <c r="AR236" s="10"/>
      <c r="AS236" s="10"/>
      <c r="AT236" s="10"/>
      <c r="AU236" s="10"/>
      <c r="AV236" s="10"/>
      <c r="AW236" s="10"/>
      <c r="AX236" s="10"/>
      <c r="AY236" s="10"/>
      <c r="AZ236" s="10"/>
      <c r="BA236" s="10"/>
      <c r="BB236" s="10"/>
      <c r="BC236" s="10"/>
      <c r="BD236" s="10"/>
      <c r="BE236" s="10"/>
      <c r="BF236" s="10"/>
      <c r="BG236" s="10"/>
      <c r="BH236" s="10"/>
    </row>
    <row r="237" spans="1:60" x14ac:dyDescent="0.2">
      <c r="A237" s="10"/>
      <c r="J237" s="10"/>
      <c r="K237" s="10"/>
      <c r="L237" s="10"/>
      <c r="M237" s="10"/>
      <c r="N237" s="10"/>
      <c r="O237" s="10"/>
      <c r="P237" s="10"/>
      <c r="Q237" s="10"/>
      <c r="R237" s="10"/>
      <c r="S237" s="10"/>
      <c r="T237" s="10"/>
      <c r="U237" s="10"/>
      <c r="V237" s="10"/>
      <c r="W237" s="10"/>
      <c r="X237" s="10"/>
      <c r="Y237" s="10"/>
      <c r="Z237" s="10"/>
      <c r="AA237" s="10"/>
      <c r="AB237" s="10"/>
      <c r="AC237" s="10"/>
      <c r="AD237" s="10"/>
      <c r="AE237" s="10"/>
      <c r="AF237" s="10"/>
      <c r="AG237" s="10"/>
      <c r="AH237" s="10"/>
      <c r="AI237" s="10"/>
      <c r="AJ237" s="10"/>
      <c r="AK237" s="10"/>
      <c r="AL237" s="10"/>
      <c r="AM237" s="10"/>
      <c r="AN237" s="10"/>
      <c r="AO237" s="10"/>
      <c r="AP237" s="10"/>
      <c r="AQ237" s="10"/>
      <c r="AR237" s="10"/>
      <c r="AS237" s="10"/>
      <c r="AT237" s="10"/>
      <c r="AU237" s="10"/>
      <c r="AV237" s="10"/>
      <c r="AW237" s="10"/>
      <c r="AX237" s="10"/>
      <c r="AY237" s="10"/>
      <c r="AZ237" s="10"/>
      <c r="BA237" s="10"/>
      <c r="BB237" s="10"/>
      <c r="BC237" s="10"/>
      <c r="BD237" s="10"/>
      <c r="BE237" s="10"/>
      <c r="BF237" s="10"/>
      <c r="BG237" s="10"/>
      <c r="BH237" s="10"/>
    </row>
    <row r="238" spans="1:60" x14ac:dyDescent="0.2">
      <c r="A238" s="10"/>
      <c r="J238" s="10"/>
      <c r="K238" s="10"/>
      <c r="L238" s="10"/>
      <c r="M238" s="10"/>
      <c r="N238" s="10"/>
      <c r="O238" s="10"/>
      <c r="P238" s="10"/>
      <c r="Q238" s="10"/>
      <c r="R238" s="10"/>
      <c r="S238" s="10"/>
      <c r="T238" s="10"/>
      <c r="U238" s="10"/>
      <c r="V238" s="10"/>
      <c r="W238" s="10"/>
      <c r="X238" s="10"/>
      <c r="Y238" s="10"/>
      <c r="Z238" s="10"/>
      <c r="AA238" s="10"/>
      <c r="AB238" s="10"/>
      <c r="AC238" s="10"/>
      <c r="AD238" s="10"/>
      <c r="AE238" s="10"/>
      <c r="AF238" s="10"/>
      <c r="AG238" s="10"/>
      <c r="AH238" s="10"/>
      <c r="AI238" s="10"/>
      <c r="AJ238" s="10"/>
      <c r="AK238" s="10"/>
      <c r="AL238" s="10"/>
      <c r="AM238" s="10"/>
      <c r="AN238" s="10"/>
      <c r="AO238" s="10"/>
      <c r="AP238" s="10"/>
      <c r="AQ238" s="10"/>
      <c r="AR238" s="10"/>
      <c r="AS238" s="10"/>
      <c r="AT238" s="10"/>
      <c r="AU238" s="10"/>
      <c r="AV238" s="10"/>
      <c r="AW238" s="10"/>
      <c r="AX238" s="10"/>
      <c r="AY238" s="10"/>
      <c r="AZ238" s="10"/>
      <c r="BA238" s="10"/>
      <c r="BB238" s="10"/>
      <c r="BC238" s="10"/>
      <c r="BD238" s="10"/>
      <c r="BE238" s="10"/>
      <c r="BF238" s="10"/>
      <c r="BG238" s="10"/>
      <c r="BH238" s="10"/>
    </row>
    <row r="239" spans="1:60" x14ac:dyDescent="0.2">
      <c r="A239" s="10"/>
      <c r="J239" s="10"/>
      <c r="K239" s="10"/>
      <c r="L239" s="10"/>
      <c r="M239" s="10"/>
      <c r="N239" s="10"/>
      <c r="O239" s="10"/>
      <c r="P239" s="10"/>
      <c r="Q239" s="10"/>
      <c r="R239" s="10"/>
      <c r="S239" s="10"/>
      <c r="T239" s="10"/>
      <c r="U239" s="10"/>
      <c r="V239" s="10"/>
      <c r="W239" s="10"/>
      <c r="X239" s="10"/>
      <c r="Y239" s="10"/>
      <c r="Z239" s="10"/>
      <c r="AA239" s="10"/>
      <c r="AB239" s="10"/>
      <c r="AC239" s="10"/>
      <c r="AD239" s="10"/>
      <c r="AE239" s="10"/>
      <c r="AF239" s="10"/>
      <c r="AG239" s="10"/>
      <c r="AH239" s="10"/>
      <c r="AI239" s="10"/>
      <c r="AJ239" s="10"/>
      <c r="AK239" s="10"/>
      <c r="AL239" s="10"/>
      <c r="AM239" s="10"/>
      <c r="AN239" s="10"/>
      <c r="AO239" s="10"/>
      <c r="AP239" s="10"/>
      <c r="AQ239" s="10"/>
      <c r="AR239" s="10"/>
      <c r="AS239" s="10"/>
      <c r="AT239" s="10"/>
      <c r="AU239" s="10"/>
      <c r="AV239" s="10"/>
      <c r="AW239" s="10"/>
      <c r="AX239" s="10"/>
      <c r="AY239" s="10"/>
      <c r="AZ239" s="10"/>
      <c r="BA239" s="10"/>
      <c r="BB239" s="10"/>
      <c r="BC239" s="10"/>
      <c r="BD239" s="10"/>
      <c r="BE239" s="10"/>
      <c r="BF239" s="10"/>
      <c r="BG239" s="10"/>
      <c r="BH239" s="10"/>
    </row>
    <row r="240" spans="1:60" x14ac:dyDescent="0.2">
      <c r="A240" s="10"/>
      <c r="J240" s="10"/>
      <c r="K240" s="10"/>
      <c r="L240" s="10"/>
      <c r="M240" s="10"/>
      <c r="N240" s="10"/>
      <c r="O240" s="10"/>
      <c r="P240" s="10"/>
      <c r="Q240" s="10"/>
      <c r="R240" s="10"/>
      <c r="S240" s="10"/>
      <c r="T240" s="10"/>
      <c r="U240" s="10"/>
      <c r="V240" s="10"/>
      <c r="W240" s="10"/>
      <c r="X240" s="10"/>
      <c r="Y240" s="10"/>
      <c r="Z240" s="10"/>
      <c r="AA240" s="10"/>
      <c r="AB240" s="10"/>
      <c r="AC240" s="10"/>
      <c r="AD240" s="10"/>
      <c r="AE240" s="10"/>
      <c r="AF240" s="10"/>
      <c r="AG240" s="10"/>
      <c r="AH240" s="10"/>
      <c r="AI240" s="10"/>
      <c r="AJ240" s="10"/>
      <c r="AK240" s="10"/>
      <c r="AL240" s="10"/>
      <c r="AM240" s="10"/>
      <c r="AN240" s="10"/>
      <c r="AO240" s="10"/>
      <c r="AP240" s="10"/>
      <c r="AQ240" s="10"/>
      <c r="AR240" s="10"/>
      <c r="AS240" s="10"/>
      <c r="AT240" s="10"/>
      <c r="AU240" s="10"/>
      <c r="AV240" s="10"/>
      <c r="AW240" s="10"/>
      <c r="AX240" s="10"/>
      <c r="AY240" s="10"/>
      <c r="AZ240" s="10"/>
      <c r="BA240" s="10"/>
      <c r="BB240" s="10"/>
      <c r="BC240" s="10"/>
      <c r="BD240" s="10"/>
      <c r="BE240" s="10"/>
      <c r="BF240" s="10"/>
      <c r="BG240" s="10"/>
      <c r="BH240" s="10"/>
    </row>
    <row r="241" spans="1:60" x14ac:dyDescent="0.2">
      <c r="A241" s="10"/>
      <c r="J241" s="10"/>
      <c r="K241" s="10"/>
      <c r="L241" s="10"/>
      <c r="M241" s="10"/>
      <c r="N241" s="10"/>
      <c r="O241" s="10"/>
      <c r="P241" s="10"/>
      <c r="Q241" s="10"/>
      <c r="R241" s="10"/>
      <c r="S241" s="10"/>
      <c r="T241" s="10"/>
      <c r="U241" s="10"/>
      <c r="V241" s="10"/>
      <c r="W241" s="10"/>
      <c r="X241" s="10"/>
      <c r="Y241" s="10"/>
      <c r="Z241" s="10"/>
      <c r="AA241" s="10"/>
      <c r="AB241" s="10"/>
      <c r="AC241" s="10"/>
      <c r="AD241" s="10"/>
      <c r="AE241" s="10"/>
      <c r="AF241" s="10"/>
      <c r="AG241" s="10"/>
      <c r="AH241" s="10"/>
      <c r="AI241" s="10"/>
      <c r="AJ241" s="10"/>
      <c r="AK241" s="10"/>
      <c r="AL241" s="10"/>
      <c r="AM241" s="10"/>
      <c r="AN241" s="10"/>
      <c r="AO241" s="10"/>
      <c r="AP241" s="10"/>
      <c r="AQ241" s="10"/>
      <c r="AR241" s="10"/>
      <c r="AS241" s="10"/>
      <c r="AT241" s="10"/>
      <c r="AU241" s="10"/>
      <c r="AV241" s="10"/>
      <c r="AW241" s="10"/>
      <c r="AX241" s="10"/>
      <c r="AY241" s="10"/>
      <c r="AZ241" s="10"/>
      <c r="BA241" s="10"/>
      <c r="BB241" s="10"/>
      <c r="BC241" s="10"/>
      <c r="BD241" s="10"/>
      <c r="BE241" s="10"/>
      <c r="BF241" s="10"/>
      <c r="BG241" s="10"/>
      <c r="BH241" s="10"/>
    </row>
    <row r="242" spans="1:60" x14ac:dyDescent="0.2">
      <c r="A242" s="10"/>
      <c r="J242" s="10"/>
      <c r="K242" s="10"/>
      <c r="L242" s="10"/>
      <c r="M242" s="10"/>
      <c r="N242" s="10"/>
      <c r="O242" s="10"/>
      <c r="P242" s="10"/>
      <c r="Q242" s="10"/>
      <c r="R242" s="10"/>
      <c r="S242" s="10"/>
      <c r="T242" s="10"/>
      <c r="U242" s="10"/>
      <c r="V242" s="10"/>
      <c r="W242" s="10"/>
      <c r="X242" s="10"/>
      <c r="Y242" s="10"/>
      <c r="Z242" s="10"/>
      <c r="AA242" s="10"/>
      <c r="AB242" s="10"/>
      <c r="AC242" s="10"/>
      <c r="AD242" s="10"/>
      <c r="AE242" s="10"/>
      <c r="AF242" s="10"/>
      <c r="AG242" s="10"/>
      <c r="AH242" s="10"/>
      <c r="AI242" s="10"/>
      <c r="AJ242" s="10"/>
      <c r="AK242" s="10"/>
      <c r="AL242" s="10"/>
      <c r="AM242" s="10"/>
      <c r="AN242" s="10"/>
      <c r="AO242" s="10"/>
      <c r="AP242" s="10"/>
      <c r="AQ242" s="10"/>
      <c r="AR242" s="10"/>
      <c r="AS242" s="10"/>
      <c r="AT242" s="10"/>
      <c r="AU242" s="10"/>
      <c r="AV242" s="10"/>
      <c r="AW242" s="10"/>
      <c r="AX242" s="10"/>
      <c r="AY242" s="10"/>
      <c r="AZ242" s="10"/>
      <c r="BA242" s="10"/>
      <c r="BB242" s="10"/>
      <c r="BC242" s="10"/>
      <c r="BD242" s="10"/>
      <c r="BE242" s="10"/>
      <c r="BF242" s="10"/>
      <c r="BG242" s="10"/>
      <c r="BH242" s="10"/>
    </row>
    <row r="243" spans="1:60" x14ac:dyDescent="0.2">
      <c r="A243" s="10"/>
      <c r="J243" s="10"/>
      <c r="K243" s="10"/>
      <c r="L243" s="10"/>
      <c r="M243" s="10"/>
      <c r="N243" s="10"/>
      <c r="O243" s="10"/>
      <c r="P243" s="10"/>
      <c r="Q243" s="10"/>
      <c r="R243" s="10"/>
      <c r="S243" s="10"/>
      <c r="T243" s="10"/>
      <c r="U243" s="10"/>
      <c r="V243" s="10"/>
      <c r="W243" s="10"/>
      <c r="X243" s="10"/>
      <c r="Y243" s="10"/>
      <c r="Z243" s="10"/>
      <c r="AA243" s="10"/>
      <c r="AB243" s="10"/>
      <c r="AC243" s="10"/>
      <c r="AD243" s="10"/>
      <c r="AE243" s="10"/>
      <c r="AF243" s="10"/>
      <c r="AG243" s="10"/>
      <c r="AH243" s="10"/>
      <c r="AI243" s="10"/>
      <c r="AJ243" s="10"/>
      <c r="AK243" s="10"/>
      <c r="AL243" s="10"/>
      <c r="AM243" s="10"/>
      <c r="AN243" s="10"/>
      <c r="AO243" s="10"/>
      <c r="AP243" s="10"/>
      <c r="AQ243" s="10"/>
      <c r="AR243" s="10"/>
      <c r="AS243" s="10"/>
      <c r="AT243" s="10"/>
      <c r="AU243" s="10"/>
      <c r="AV243" s="10"/>
      <c r="AW243" s="10"/>
      <c r="AX243" s="10"/>
      <c r="AY243" s="10"/>
      <c r="AZ243" s="10"/>
      <c r="BA243" s="10"/>
      <c r="BB243" s="10"/>
      <c r="BC243" s="10"/>
      <c r="BD243" s="10"/>
      <c r="BE243" s="10"/>
      <c r="BF243" s="10"/>
      <c r="BG243" s="10"/>
      <c r="BH243" s="10"/>
    </row>
    <row r="244" spans="1:60" x14ac:dyDescent="0.2">
      <c r="A244" s="10"/>
      <c r="J244" s="10"/>
      <c r="K244" s="10"/>
      <c r="L244" s="10"/>
      <c r="M244" s="10"/>
      <c r="N244" s="10"/>
      <c r="O244" s="10"/>
      <c r="P244" s="10"/>
      <c r="Q244" s="10"/>
      <c r="R244" s="10"/>
      <c r="S244" s="10"/>
      <c r="T244" s="10"/>
      <c r="U244" s="10"/>
      <c r="V244" s="10"/>
      <c r="W244" s="10"/>
      <c r="X244" s="10"/>
      <c r="Y244" s="10"/>
      <c r="Z244" s="10"/>
      <c r="AA244" s="10"/>
      <c r="AB244" s="10"/>
      <c r="AC244" s="10"/>
      <c r="AD244" s="10"/>
      <c r="AE244" s="10"/>
      <c r="AF244" s="10"/>
      <c r="AG244" s="10"/>
      <c r="AH244" s="10"/>
      <c r="AI244" s="10"/>
      <c r="AJ244" s="10"/>
      <c r="AK244" s="10"/>
      <c r="AL244" s="10"/>
      <c r="AM244" s="10"/>
      <c r="AN244" s="10"/>
      <c r="AO244" s="10"/>
      <c r="AP244" s="10"/>
      <c r="AQ244" s="10"/>
      <c r="AR244" s="10"/>
      <c r="AS244" s="10"/>
      <c r="AT244" s="10"/>
      <c r="AU244" s="10"/>
      <c r="AV244" s="10"/>
      <c r="AW244" s="10"/>
      <c r="AX244" s="10"/>
      <c r="AY244" s="10"/>
      <c r="AZ244" s="10"/>
      <c r="BA244" s="10"/>
      <c r="BB244" s="10"/>
      <c r="BC244" s="10"/>
      <c r="BD244" s="10"/>
      <c r="BE244" s="10"/>
      <c r="BF244" s="10"/>
      <c r="BG244" s="10"/>
      <c r="BH244" s="10"/>
    </row>
    <row r="245" spans="1:60" x14ac:dyDescent="0.2">
      <c r="A245" s="10"/>
    </row>
    <row r="246" spans="1:60" x14ac:dyDescent="0.2">
      <c r="A246" s="10"/>
    </row>
    <row r="247" spans="1:60" x14ac:dyDescent="0.2">
      <c r="A247" s="10"/>
    </row>
    <row r="248" spans="1:60" x14ac:dyDescent="0.2">
      <c r="A248" s="10"/>
    </row>
  </sheetData>
  <mergeCells count="17">
    <mergeCell ref="AO16:AT25"/>
    <mergeCell ref="E16:I25"/>
    <mergeCell ref="AO6:AT15"/>
    <mergeCell ref="B2:I4"/>
    <mergeCell ref="J2:AM4"/>
    <mergeCell ref="B6:D55"/>
    <mergeCell ref="E6:I15"/>
    <mergeCell ref="E46:I55"/>
    <mergeCell ref="AO36:AT45"/>
    <mergeCell ref="E36:I45"/>
    <mergeCell ref="AO26:AT35"/>
    <mergeCell ref="E26:I35"/>
    <mergeCell ref="J56:O61"/>
    <mergeCell ref="P56:U61"/>
    <mergeCell ref="V56:AA61"/>
    <mergeCell ref="AB56:AG61"/>
    <mergeCell ref="AH56:AM6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K55"/>
  <sheetViews>
    <sheetView zoomScale="90" zoomScaleNormal="90" workbookViewId="0">
      <selection activeCell="F7" sqref="F7"/>
    </sheetView>
  </sheetViews>
  <sheetFormatPr baseColWidth="10" defaultRowHeight="15" x14ac:dyDescent="0.25"/>
  <cols>
    <col min="2" max="2" width="24.140625" customWidth="1"/>
    <col min="3" max="3" width="70.140625" customWidth="1"/>
    <col min="4" max="4" width="29.85546875" customWidth="1"/>
  </cols>
  <sheetData>
    <row r="1" spans="1:37" ht="23.25" x14ac:dyDescent="0.25">
      <c r="A1" s="4"/>
      <c r="B1" s="431" t="s">
        <v>49</v>
      </c>
      <c r="C1" s="431"/>
      <c r="D1" s="431"/>
      <c r="E1" s="4"/>
      <c r="F1" s="4"/>
      <c r="G1" s="4"/>
      <c r="H1" s="4"/>
      <c r="I1" s="4"/>
      <c r="J1" s="4"/>
      <c r="K1" s="4"/>
      <c r="L1" s="4"/>
      <c r="M1" s="4"/>
      <c r="N1" s="4"/>
      <c r="O1" s="4"/>
      <c r="P1" s="4"/>
      <c r="Q1" s="4"/>
      <c r="R1" s="4"/>
      <c r="S1" s="4"/>
      <c r="T1" s="4"/>
      <c r="U1" s="4"/>
      <c r="V1" s="4"/>
      <c r="W1" s="4"/>
      <c r="X1" s="4"/>
      <c r="Y1" s="4"/>
      <c r="Z1" s="4"/>
      <c r="AA1" s="4"/>
      <c r="AB1" s="4"/>
      <c r="AC1" s="4"/>
      <c r="AD1" s="4"/>
      <c r="AE1" s="4"/>
    </row>
    <row r="2" spans="1:37"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row>
    <row r="3" spans="1:37" ht="25.5" x14ac:dyDescent="0.25">
      <c r="A3" s="4"/>
      <c r="B3" s="1"/>
      <c r="C3" s="2" t="s">
        <v>46</v>
      </c>
      <c r="D3" s="2" t="s">
        <v>3</v>
      </c>
      <c r="E3" s="4"/>
      <c r="F3" s="4"/>
      <c r="G3" s="4"/>
      <c r="H3" s="4"/>
      <c r="I3" s="4"/>
      <c r="J3" s="4"/>
      <c r="K3" s="4"/>
      <c r="L3" s="4"/>
      <c r="M3" s="4"/>
      <c r="N3" s="4"/>
      <c r="O3" s="4"/>
      <c r="P3" s="4"/>
      <c r="Q3" s="4"/>
      <c r="R3" s="4"/>
      <c r="S3" s="4"/>
      <c r="T3" s="4"/>
      <c r="U3" s="4"/>
      <c r="V3" s="4"/>
      <c r="W3" s="4"/>
      <c r="X3" s="4"/>
      <c r="Y3" s="4"/>
      <c r="Z3" s="4"/>
      <c r="AA3" s="4"/>
      <c r="AB3" s="4"/>
      <c r="AC3" s="4"/>
      <c r="AD3" s="4"/>
      <c r="AE3" s="4"/>
    </row>
    <row r="4" spans="1:37" ht="51" x14ac:dyDescent="0.25">
      <c r="A4" s="4"/>
      <c r="B4" s="91" t="s">
        <v>45</v>
      </c>
      <c r="C4" s="96" t="s">
        <v>95</v>
      </c>
      <c r="D4" s="97">
        <v>0.2</v>
      </c>
      <c r="E4" s="4"/>
      <c r="F4" s="4"/>
      <c r="G4" s="4"/>
      <c r="H4" s="4"/>
      <c r="I4" s="4"/>
      <c r="J4" s="4"/>
      <c r="K4" s="4"/>
      <c r="L4" s="4"/>
      <c r="M4" s="4"/>
      <c r="N4" s="4"/>
      <c r="O4" s="4"/>
      <c r="P4" s="4"/>
      <c r="Q4" s="4"/>
      <c r="R4" s="4"/>
      <c r="S4" s="4"/>
      <c r="T4" s="4"/>
      <c r="U4" s="4"/>
      <c r="V4" s="4"/>
      <c r="W4" s="4"/>
      <c r="X4" s="4"/>
      <c r="Y4" s="4"/>
      <c r="Z4" s="4"/>
      <c r="AA4" s="4"/>
      <c r="AB4" s="4"/>
      <c r="AC4" s="4"/>
      <c r="AD4" s="4"/>
      <c r="AE4" s="4"/>
    </row>
    <row r="5" spans="1:37" ht="51" x14ac:dyDescent="0.25">
      <c r="A5" s="4"/>
      <c r="B5" s="92" t="s">
        <v>47</v>
      </c>
      <c r="C5" s="96" t="s">
        <v>96</v>
      </c>
      <c r="D5" s="97">
        <v>0.4</v>
      </c>
      <c r="E5" s="4"/>
      <c r="F5" s="4"/>
      <c r="G5" s="4"/>
      <c r="H5" s="4"/>
      <c r="I5" s="4"/>
      <c r="J5" s="4"/>
      <c r="K5" s="4"/>
      <c r="L5" s="4"/>
      <c r="M5" s="4"/>
      <c r="N5" s="4"/>
      <c r="O5" s="4"/>
      <c r="P5" s="4"/>
      <c r="Q5" s="4"/>
      <c r="R5" s="4"/>
      <c r="S5" s="4"/>
      <c r="T5" s="4"/>
      <c r="U5" s="4"/>
      <c r="V5" s="4"/>
      <c r="W5" s="4"/>
      <c r="X5" s="4"/>
      <c r="Y5" s="4"/>
      <c r="Z5" s="4"/>
      <c r="AA5" s="4"/>
      <c r="AB5" s="4"/>
      <c r="AC5" s="4"/>
      <c r="AD5" s="4"/>
      <c r="AE5" s="4"/>
    </row>
    <row r="6" spans="1:37" ht="51" x14ac:dyDescent="0.25">
      <c r="A6" s="4"/>
      <c r="B6" s="93" t="s">
        <v>100</v>
      </c>
      <c r="C6" s="96" t="s">
        <v>97</v>
      </c>
      <c r="D6" s="97">
        <v>0.6</v>
      </c>
      <c r="E6" s="4"/>
      <c r="F6" s="4"/>
      <c r="G6" s="4"/>
      <c r="H6" s="4"/>
      <c r="I6" s="4"/>
      <c r="J6" s="4"/>
      <c r="K6" s="4"/>
      <c r="L6" s="4"/>
      <c r="M6" s="4"/>
      <c r="N6" s="4"/>
      <c r="O6" s="4"/>
      <c r="P6" s="4"/>
      <c r="Q6" s="4"/>
      <c r="R6" s="4"/>
      <c r="S6" s="4"/>
      <c r="T6" s="4"/>
      <c r="U6" s="4"/>
      <c r="V6" s="4"/>
      <c r="W6" s="4"/>
      <c r="X6" s="4"/>
      <c r="Y6" s="4"/>
      <c r="Z6" s="4"/>
      <c r="AA6" s="4"/>
      <c r="AB6" s="4"/>
      <c r="AC6" s="4"/>
      <c r="AD6" s="4"/>
      <c r="AE6" s="4"/>
    </row>
    <row r="7" spans="1:37" ht="76.5" x14ac:dyDescent="0.25">
      <c r="A7" s="4"/>
      <c r="B7" s="94" t="s">
        <v>5</v>
      </c>
      <c r="C7" s="96" t="s">
        <v>98</v>
      </c>
      <c r="D7" s="97">
        <v>0.8</v>
      </c>
      <c r="E7" s="4"/>
      <c r="F7" s="4"/>
      <c r="G7" s="4"/>
      <c r="H7" s="4"/>
      <c r="I7" s="4"/>
      <c r="J7" s="4"/>
      <c r="K7" s="4"/>
      <c r="L7" s="4"/>
      <c r="M7" s="4"/>
      <c r="N7" s="4"/>
      <c r="O7" s="4"/>
      <c r="P7" s="4"/>
      <c r="Q7" s="4"/>
      <c r="R7" s="4"/>
      <c r="S7" s="4"/>
      <c r="T7" s="4"/>
      <c r="U7" s="4"/>
      <c r="V7" s="4"/>
      <c r="W7" s="4"/>
      <c r="X7" s="4"/>
      <c r="Y7" s="4"/>
      <c r="Z7" s="4"/>
      <c r="AA7" s="4"/>
      <c r="AB7" s="4"/>
      <c r="AC7" s="4"/>
      <c r="AD7" s="4"/>
      <c r="AE7" s="4"/>
    </row>
    <row r="8" spans="1:37" ht="51" x14ac:dyDescent="0.25">
      <c r="A8" s="4"/>
      <c r="B8" s="95" t="s">
        <v>48</v>
      </c>
      <c r="C8" s="96" t="s">
        <v>99</v>
      </c>
      <c r="D8" s="97">
        <v>1</v>
      </c>
      <c r="E8" s="4"/>
      <c r="F8" s="4"/>
      <c r="G8" s="4"/>
      <c r="H8" s="4"/>
      <c r="I8" s="4"/>
      <c r="J8" s="4"/>
      <c r="K8" s="4"/>
      <c r="L8" s="4"/>
      <c r="M8" s="4"/>
      <c r="N8" s="4"/>
      <c r="O8" s="4"/>
      <c r="P8" s="4"/>
      <c r="Q8" s="4"/>
      <c r="R8" s="4"/>
      <c r="S8" s="4"/>
      <c r="T8" s="4"/>
      <c r="U8" s="4"/>
      <c r="V8" s="4"/>
      <c r="W8" s="4"/>
      <c r="X8" s="4"/>
      <c r="Y8" s="4"/>
      <c r="Z8" s="4"/>
      <c r="AA8" s="4"/>
      <c r="AB8" s="4"/>
      <c r="AC8" s="4"/>
      <c r="AD8" s="4"/>
      <c r="AE8" s="4"/>
    </row>
    <row r="9" spans="1:37" x14ac:dyDescent="0.25">
      <c r="A9" s="4"/>
      <c r="B9" s="6"/>
      <c r="C9" s="6"/>
      <c r="D9" s="6"/>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row>
    <row r="10" spans="1:37" ht="16.5" x14ac:dyDescent="0.25">
      <c r="A10" s="4"/>
      <c r="B10" s="7"/>
      <c r="C10" s="6"/>
      <c r="D10" s="6"/>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row>
    <row r="11" spans="1:37" x14ac:dyDescent="0.25">
      <c r="A11" s="4"/>
      <c r="B11" s="6"/>
      <c r="C11" s="6"/>
      <c r="D11" s="6"/>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row>
    <row r="12" spans="1:37" x14ac:dyDescent="0.25">
      <c r="A12" s="4"/>
      <c r="B12" s="6"/>
      <c r="C12" s="6"/>
      <c r="D12" s="6"/>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row>
    <row r="13" spans="1:37" x14ac:dyDescent="0.25">
      <c r="A13" s="4"/>
      <c r="B13" s="6"/>
      <c r="C13" s="6"/>
      <c r="D13" s="6"/>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row>
    <row r="14" spans="1:37" x14ac:dyDescent="0.25">
      <c r="A14" s="4"/>
      <c r="B14" s="6"/>
      <c r="C14" s="6"/>
      <c r="D14" s="6"/>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row>
    <row r="15" spans="1:37" x14ac:dyDescent="0.25">
      <c r="A15" s="4"/>
      <c r="B15" s="6"/>
      <c r="C15" s="6"/>
      <c r="D15" s="6"/>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row>
    <row r="16" spans="1:37" x14ac:dyDescent="0.25">
      <c r="A16" s="4"/>
      <c r="B16" s="6"/>
      <c r="C16" s="6"/>
      <c r="D16" s="6"/>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row>
    <row r="17" spans="1:37" x14ac:dyDescent="0.25">
      <c r="A17" s="4"/>
      <c r="B17" s="6"/>
      <c r="C17" s="6"/>
      <c r="D17" s="6"/>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x14ac:dyDescent="0.25">
      <c r="A18" s="4"/>
      <c r="B18" s="6"/>
      <c r="C18" s="6"/>
      <c r="D18" s="6"/>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x14ac:dyDescent="0.25">
      <c r="A19" s="4"/>
      <c r="B19" s="4"/>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row>
    <row r="20" spans="1:37" x14ac:dyDescent="0.25">
      <c r="A20" s="4"/>
      <c r="B20" s="4"/>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row>
    <row r="21" spans="1:37" x14ac:dyDescent="0.25">
      <c r="A21" s="4"/>
      <c r="B21" s="4"/>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row>
    <row r="22" spans="1:37" x14ac:dyDescent="0.25">
      <c r="A22" s="4"/>
      <c r="B22" s="4"/>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row>
    <row r="23" spans="1:37" x14ac:dyDescent="0.25">
      <c r="A23" s="4"/>
      <c r="B23" s="4"/>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row>
    <row r="24" spans="1:37" x14ac:dyDescent="0.25">
      <c r="A24" s="4"/>
      <c r="B24" s="4"/>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row>
    <row r="25" spans="1:37" x14ac:dyDescent="0.25">
      <c r="A25" s="4"/>
      <c r="B25" s="4"/>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row>
    <row r="26" spans="1:37" x14ac:dyDescent="0.25">
      <c r="A26" s="4"/>
      <c r="B26" s="4"/>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row>
    <row r="27" spans="1:37" x14ac:dyDescent="0.25">
      <c r="A27" s="4"/>
      <c r="B27" s="4"/>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row>
    <row r="28" spans="1:37" x14ac:dyDescent="0.25">
      <c r="A28" s="4"/>
      <c r="B28" s="4"/>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row>
    <row r="29" spans="1:37" x14ac:dyDescent="0.25">
      <c r="A29" s="4"/>
      <c r="B29" s="4"/>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row>
    <row r="30" spans="1:37" x14ac:dyDescent="0.25">
      <c r="A30" s="4"/>
      <c r="B30" s="4"/>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row>
    <row r="31" spans="1:37" x14ac:dyDescent="0.25">
      <c r="A31" s="4"/>
      <c r="B31" s="4"/>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row>
    <row r="32" spans="1:37" x14ac:dyDescent="0.25">
      <c r="A32" s="4"/>
      <c r="B32" s="4"/>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row>
    <row r="33" spans="1:31" x14ac:dyDescent="0.25">
      <c r="A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row>
    <row r="34" spans="1:31" x14ac:dyDescent="0.25">
      <c r="A34" s="4"/>
      <c r="E34" s="4"/>
      <c r="F34" s="4"/>
      <c r="G34" s="4"/>
      <c r="H34" s="4"/>
      <c r="I34" s="4"/>
      <c r="J34" s="4"/>
      <c r="K34" s="4"/>
      <c r="L34" s="4"/>
      <c r="M34" s="4"/>
      <c r="N34" s="4"/>
      <c r="O34" s="4"/>
      <c r="P34" s="4"/>
      <c r="Q34" s="4"/>
      <c r="R34" s="4"/>
      <c r="S34" s="4"/>
      <c r="T34" s="4"/>
      <c r="U34" s="4"/>
      <c r="V34" s="4"/>
      <c r="W34" s="4"/>
      <c r="X34" s="4"/>
      <c r="Y34" s="4"/>
      <c r="Z34" s="4"/>
      <c r="AA34" s="4"/>
      <c r="AB34" s="4"/>
      <c r="AC34" s="4"/>
      <c r="AD34" s="4"/>
      <c r="AE34" s="4"/>
    </row>
    <row r="35" spans="1:31" x14ac:dyDescent="0.25">
      <c r="A35" s="4"/>
    </row>
    <row r="36" spans="1:31" x14ac:dyDescent="0.25">
      <c r="A36" s="4"/>
    </row>
    <row r="37" spans="1:31" x14ac:dyDescent="0.25">
      <c r="A37" s="4"/>
    </row>
    <row r="38" spans="1:31" x14ac:dyDescent="0.25">
      <c r="A38" s="4"/>
    </row>
    <row r="39" spans="1:31" x14ac:dyDescent="0.25">
      <c r="A39" s="4"/>
    </row>
    <row r="40" spans="1:31" x14ac:dyDescent="0.25">
      <c r="A40" s="4"/>
    </row>
    <row r="41" spans="1:31" x14ac:dyDescent="0.25">
      <c r="A41" s="4"/>
    </row>
    <row r="42" spans="1:31" x14ac:dyDescent="0.25">
      <c r="A42" s="4"/>
    </row>
    <row r="43" spans="1:31" x14ac:dyDescent="0.25">
      <c r="A43" s="4"/>
    </row>
    <row r="44" spans="1:31" x14ac:dyDescent="0.25">
      <c r="A44" s="4"/>
    </row>
    <row r="45" spans="1:31" x14ac:dyDescent="0.25">
      <c r="A45" s="4"/>
    </row>
    <row r="46" spans="1:31" x14ac:dyDescent="0.25">
      <c r="A46" s="4"/>
    </row>
    <row r="47" spans="1:31" x14ac:dyDescent="0.25">
      <c r="A47" s="4"/>
    </row>
    <row r="48" spans="1:31" x14ac:dyDescent="0.25">
      <c r="A48" s="4"/>
    </row>
    <row r="49" spans="1:1" x14ac:dyDescent="0.25">
      <c r="A49" s="4"/>
    </row>
    <row r="50" spans="1:1" x14ac:dyDescent="0.25">
      <c r="A50" s="4"/>
    </row>
    <row r="51" spans="1:1" x14ac:dyDescent="0.25">
      <c r="A51" s="4"/>
    </row>
    <row r="52" spans="1:1" x14ac:dyDescent="0.25">
      <c r="A52" s="4"/>
    </row>
    <row r="53" spans="1:1" x14ac:dyDescent="0.25">
      <c r="A53" s="4"/>
    </row>
    <row r="54" spans="1:1" x14ac:dyDescent="0.25">
      <c r="A54" s="4"/>
    </row>
    <row r="55" spans="1:1" x14ac:dyDescent="0.25">
      <c r="A55" s="4"/>
    </row>
  </sheetData>
  <mergeCells count="1">
    <mergeCell ref="B1:D1"/>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dimension ref="A1:U232"/>
  <sheetViews>
    <sheetView showGridLines="0" zoomScale="60" zoomScaleNormal="60" workbookViewId="0">
      <selection activeCell="D7" sqref="D7"/>
    </sheetView>
  </sheetViews>
  <sheetFormatPr baseColWidth="10" defaultRowHeight="14.25" x14ac:dyDescent="0.2"/>
  <cols>
    <col min="1" max="1" width="11.42578125" style="8"/>
    <col min="2" max="2" width="40.42578125" style="8" customWidth="1"/>
    <col min="3" max="3" width="74.85546875" style="8" customWidth="1"/>
    <col min="4" max="4" width="135" style="8" bestFit="1" customWidth="1"/>
    <col min="5" max="5" width="144.7109375" style="8" bestFit="1" customWidth="1"/>
    <col min="6" max="16384" width="11.42578125" style="8"/>
  </cols>
  <sheetData>
    <row r="1" spans="1:21" ht="33.75" x14ac:dyDescent="0.2">
      <c r="A1" s="10"/>
      <c r="B1" s="432" t="s">
        <v>57</v>
      </c>
      <c r="C1" s="432"/>
      <c r="D1" s="432"/>
      <c r="E1" s="10"/>
      <c r="F1" s="10"/>
      <c r="G1" s="10"/>
      <c r="H1" s="10"/>
      <c r="I1" s="10"/>
      <c r="J1" s="10"/>
      <c r="K1" s="10"/>
      <c r="L1" s="10"/>
      <c r="M1" s="10"/>
      <c r="N1" s="10"/>
      <c r="O1" s="10"/>
      <c r="P1" s="10"/>
      <c r="Q1" s="10"/>
      <c r="R1" s="10"/>
      <c r="S1" s="10"/>
      <c r="T1" s="10"/>
      <c r="U1" s="10"/>
    </row>
    <row r="2" spans="1:21" x14ac:dyDescent="0.2">
      <c r="A2" s="10"/>
      <c r="B2" s="10"/>
      <c r="C2" s="10"/>
      <c r="D2" s="10"/>
      <c r="E2" s="10"/>
      <c r="F2" s="10"/>
      <c r="G2" s="10"/>
      <c r="H2" s="10"/>
      <c r="I2" s="10"/>
      <c r="J2" s="10"/>
      <c r="K2" s="10"/>
      <c r="L2" s="10"/>
      <c r="M2" s="10"/>
      <c r="N2" s="10"/>
      <c r="O2" s="10"/>
      <c r="P2" s="10"/>
      <c r="Q2" s="10"/>
      <c r="R2" s="10"/>
      <c r="S2" s="10"/>
      <c r="T2" s="10"/>
      <c r="U2" s="10"/>
    </row>
    <row r="3" spans="1:21" ht="60" x14ac:dyDescent="0.2">
      <c r="A3" s="10"/>
      <c r="B3" s="5"/>
      <c r="C3" s="98" t="s">
        <v>50</v>
      </c>
      <c r="D3" s="98" t="s">
        <v>51</v>
      </c>
      <c r="E3" s="10"/>
      <c r="F3" s="10"/>
      <c r="G3" s="10"/>
      <c r="H3" s="10"/>
      <c r="I3" s="10"/>
      <c r="J3" s="10"/>
      <c r="K3" s="10"/>
      <c r="L3" s="10"/>
      <c r="M3" s="10"/>
      <c r="N3" s="10"/>
      <c r="O3" s="10"/>
      <c r="P3" s="10"/>
      <c r="Q3" s="10"/>
      <c r="R3" s="10"/>
      <c r="S3" s="10"/>
      <c r="T3" s="10"/>
      <c r="U3" s="10"/>
    </row>
    <row r="4" spans="1:21" ht="66" x14ac:dyDescent="0.2">
      <c r="A4" s="99" t="s">
        <v>77</v>
      </c>
      <c r="B4" s="100" t="s">
        <v>94</v>
      </c>
      <c r="C4" s="101" t="s">
        <v>137</v>
      </c>
      <c r="D4" s="102" t="s">
        <v>90</v>
      </c>
      <c r="E4" s="10"/>
      <c r="F4" s="10"/>
      <c r="G4" s="10"/>
      <c r="H4" s="10"/>
      <c r="I4" s="10"/>
      <c r="J4" s="10"/>
      <c r="K4" s="10"/>
      <c r="L4" s="10"/>
      <c r="M4" s="10"/>
      <c r="N4" s="10"/>
      <c r="O4" s="10"/>
      <c r="P4" s="10"/>
      <c r="Q4" s="10"/>
      <c r="R4" s="10"/>
      <c r="S4" s="10"/>
      <c r="T4" s="10"/>
      <c r="U4" s="10"/>
    </row>
    <row r="5" spans="1:21" ht="99" x14ac:dyDescent="0.2">
      <c r="A5" s="99" t="s">
        <v>78</v>
      </c>
      <c r="B5" s="103" t="s">
        <v>53</v>
      </c>
      <c r="C5" s="101" t="s">
        <v>86</v>
      </c>
      <c r="D5" s="102" t="s">
        <v>91</v>
      </c>
      <c r="E5" s="10"/>
      <c r="F5" s="10"/>
      <c r="G5" s="10"/>
      <c r="H5" s="10"/>
      <c r="I5" s="10"/>
      <c r="J5" s="10"/>
      <c r="K5" s="10"/>
      <c r="L5" s="10"/>
      <c r="M5" s="10"/>
      <c r="N5" s="10"/>
      <c r="O5" s="10"/>
      <c r="P5" s="10"/>
      <c r="Q5" s="10"/>
      <c r="R5" s="10"/>
      <c r="S5" s="10"/>
      <c r="T5" s="10"/>
      <c r="U5" s="10"/>
    </row>
    <row r="6" spans="1:21" ht="66" x14ac:dyDescent="0.2">
      <c r="A6" s="99" t="s">
        <v>75</v>
      </c>
      <c r="B6" s="104" t="s">
        <v>54</v>
      </c>
      <c r="C6" s="101" t="s">
        <v>87</v>
      </c>
      <c r="D6" s="102" t="s">
        <v>93</v>
      </c>
      <c r="E6" s="10"/>
      <c r="F6" s="10"/>
      <c r="G6" s="10"/>
      <c r="H6" s="10"/>
      <c r="I6" s="10"/>
      <c r="J6" s="10"/>
      <c r="K6" s="10"/>
      <c r="L6" s="10"/>
      <c r="M6" s="10"/>
      <c r="N6" s="10"/>
      <c r="O6" s="10"/>
      <c r="P6" s="10"/>
      <c r="Q6" s="10"/>
      <c r="R6" s="10"/>
      <c r="S6" s="10"/>
      <c r="T6" s="10"/>
      <c r="U6" s="10"/>
    </row>
    <row r="7" spans="1:21" ht="99" x14ac:dyDescent="0.2">
      <c r="A7" s="99" t="s">
        <v>6</v>
      </c>
      <c r="B7" s="105" t="s">
        <v>55</v>
      </c>
      <c r="C7" s="101" t="s">
        <v>88</v>
      </c>
      <c r="D7" s="102" t="s">
        <v>92</v>
      </c>
      <c r="E7" s="10"/>
      <c r="F7" s="10"/>
      <c r="G7" s="10"/>
      <c r="H7" s="10"/>
      <c r="I7" s="10"/>
      <c r="J7" s="10"/>
      <c r="K7" s="10"/>
      <c r="L7" s="10"/>
      <c r="M7" s="10"/>
      <c r="N7" s="10"/>
      <c r="O7" s="10"/>
      <c r="P7" s="10"/>
      <c r="Q7" s="10"/>
      <c r="R7" s="10"/>
      <c r="S7" s="10"/>
      <c r="T7" s="10"/>
      <c r="U7" s="10"/>
    </row>
    <row r="8" spans="1:21" ht="66" x14ac:dyDescent="0.2">
      <c r="A8" s="99" t="s">
        <v>79</v>
      </c>
      <c r="B8" s="106" t="s">
        <v>56</v>
      </c>
      <c r="C8" s="101" t="s">
        <v>89</v>
      </c>
      <c r="D8" s="102" t="s">
        <v>111</v>
      </c>
      <c r="E8" s="10"/>
      <c r="F8" s="10"/>
      <c r="G8" s="10"/>
      <c r="H8" s="10"/>
      <c r="I8" s="10"/>
      <c r="J8" s="10"/>
      <c r="K8" s="10"/>
      <c r="L8" s="10"/>
      <c r="M8" s="10"/>
      <c r="N8" s="10"/>
      <c r="O8" s="10"/>
      <c r="P8" s="10"/>
      <c r="Q8" s="10"/>
      <c r="R8" s="10"/>
      <c r="S8" s="10"/>
      <c r="T8" s="10"/>
      <c r="U8" s="10"/>
    </row>
    <row r="9" spans="1:21" ht="20.25" x14ac:dyDescent="0.2">
      <c r="A9" s="99"/>
      <c r="B9" s="99"/>
      <c r="C9" s="107"/>
      <c r="D9" s="107"/>
      <c r="E9" s="10"/>
      <c r="F9" s="10"/>
      <c r="G9" s="10"/>
      <c r="H9" s="10"/>
      <c r="I9" s="10"/>
      <c r="J9" s="10"/>
      <c r="K9" s="10"/>
      <c r="L9" s="10"/>
      <c r="M9" s="10"/>
      <c r="N9" s="10"/>
      <c r="O9" s="10"/>
      <c r="P9" s="10"/>
      <c r="Q9" s="10"/>
      <c r="R9" s="10"/>
      <c r="S9" s="10"/>
      <c r="T9" s="10"/>
      <c r="U9" s="10"/>
    </row>
    <row r="10" spans="1:21" ht="15" x14ac:dyDescent="0.2">
      <c r="A10" s="99"/>
      <c r="B10" s="108"/>
      <c r="C10" s="108"/>
      <c r="D10" s="108"/>
      <c r="E10" s="10"/>
      <c r="F10" s="10"/>
      <c r="G10" s="10"/>
      <c r="H10" s="10"/>
      <c r="I10" s="10"/>
      <c r="J10" s="10"/>
      <c r="K10" s="10"/>
      <c r="L10" s="10"/>
      <c r="M10" s="10"/>
      <c r="N10" s="10"/>
      <c r="O10" s="10"/>
      <c r="P10" s="10"/>
      <c r="Q10" s="10"/>
      <c r="R10" s="10"/>
      <c r="S10" s="10"/>
      <c r="T10" s="10"/>
      <c r="U10" s="10"/>
    </row>
    <row r="11" spans="1:21" x14ac:dyDescent="0.2">
      <c r="A11" s="99"/>
      <c r="B11" s="99" t="s">
        <v>84</v>
      </c>
      <c r="C11" s="99" t="s">
        <v>125</v>
      </c>
      <c r="D11" s="99" t="s">
        <v>132</v>
      </c>
      <c r="E11" s="10"/>
      <c r="F11" s="10"/>
      <c r="G11" s="10"/>
      <c r="H11" s="10"/>
      <c r="I11" s="10"/>
      <c r="J11" s="10"/>
      <c r="K11" s="10"/>
      <c r="L11" s="10"/>
      <c r="M11" s="10"/>
      <c r="N11" s="10"/>
      <c r="O11" s="10"/>
      <c r="P11" s="10"/>
      <c r="Q11" s="10"/>
      <c r="R11" s="10"/>
      <c r="S11" s="10"/>
      <c r="T11" s="10"/>
      <c r="U11" s="10"/>
    </row>
    <row r="12" spans="1:21" x14ac:dyDescent="0.2">
      <c r="A12" s="99"/>
      <c r="B12" s="99" t="s">
        <v>82</v>
      </c>
      <c r="C12" s="99" t="s">
        <v>129</v>
      </c>
      <c r="D12" s="99" t="s">
        <v>133</v>
      </c>
      <c r="E12" s="10"/>
      <c r="F12" s="10"/>
      <c r="G12" s="10"/>
      <c r="H12" s="10"/>
      <c r="I12" s="10"/>
      <c r="J12" s="10"/>
      <c r="K12" s="10"/>
      <c r="L12" s="10"/>
      <c r="M12" s="10"/>
      <c r="N12" s="10"/>
      <c r="O12" s="10"/>
      <c r="P12" s="10"/>
      <c r="Q12" s="10"/>
      <c r="R12" s="10"/>
      <c r="S12" s="10"/>
      <c r="T12" s="10"/>
      <c r="U12" s="10"/>
    </row>
    <row r="13" spans="1:21" x14ac:dyDescent="0.2">
      <c r="A13" s="99"/>
      <c r="B13" s="99"/>
      <c r="C13" s="99" t="s">
        <v>128</v>
      </c>
      <c r="D13" s="99" t="s">
        <v>134</v>
      </c>
      <c r="E13" s="10"/>
      <c r="F13" s="10"/>
      <c r="G13" s="10"/>
      <c r="H13" s="10"/>
      <c r="I13" s="10"/>
      <c r="J13" s="10"/>
      <c r="K13" s="10"/>
      <c r="L13" s="10"/>
      <c r="M13" s="10"/>
      <c r="N13" s="10"/>
      <c r="O13" s="10"/>
      <c r="P13" s="10"/>
      <c r="Q13" s="10"/>
      <c r="R13" s="10"/>
      <c r="S13" s="10"/>
      <c r="T13" s="10"/>
      <c r="U13" s="10"/>
    </row>
    <row r="14" spans="1:21" x14ac:dyDescent="0.2">
      <c r="A14" s="99"/>
      <c r="B14" s="99"/>
      <c r="C14" s="99" t="s">
        <v>130</v>
      </c>
      <c r="D14" s="99" t="s">
        <v>135</v>
      </c>
      <c r="E14" s="10"/>
      <c r="F14" s="10"/>
      <c r="G14" s="10"/>
      <c r="H14" s="10"/>
      <c r="I14" s="10"/>
      <c r="J14" s="10"/>
      <c r="K14" s="10"/>
      <c r="L14" s="10"/>
      <c r="M14" s="10"/>
      <c r="N14" s="10"/>
      <c r="O14" s="10"/>
      <c r="P14" s="10"/>
      <c r="Q14" s="10"/>
      <c r="R14" s="10"/>
      <c r="S14" s="10"/>
      <c r="T14" s="10"/>
      <c r="U14" s="10"/>
    </row>
    <row r="15" spans="1:21" x14ac:dyDescent="0.2">
      <c r="A15" s="99"/>
      <c r="B15" s="99"/>
      <c r="C15" s="99" t="s">
        <v>131</v>
      </c>
      <c r="D15" s="99" t="s">
        <v>136</v>
      </c>
      <c r="E15" s="10"/>
      <c r="F15" s="10"/>
      <c r="G15" s="10"/>
      <c r="H15" s="10"/>
      <c r="I15" s="10"/>
      <c r="J15" s="10"/>
      <c r="K15" s="10"/>
      <c r="L15" s="10"/>
      <c r="M15" s="10"/>
      <c r="N15" s="10"/>
      <c r="O15" s="10"/>
      <c r="P15" s="10"/>
      <c r="Q15" s="10"/>
      <c r="R15" s="10"/>
      <c r="S15" s="10"/>
      <c r="T15" s="10"/>
      <c r="U15" s="10"/>
    </row>
    <row r="16" spans="1:21" x14ac:dyDescent="0.2">
      <c r="A16" s="99"/>
      <c r="B16" s="99"/>
      <c r="C16" s="99"/>
      <c r="D16" s="99"/>
      <c r="E16" s="10"/>
      <c r="F16" s="10"/>
      <c r="G16" s="10"/>
      <c r="H16" s="10"/>
      <c r="I16" s="10"/>
      <c r="J16" s="10"/>
      <c r="K16" s="10"/>
      <c r="L16" s="10"/>
      <c r="M16" s="10"/>
      <c r="N16" s="10"/>
      <c r="O16" s="10"/>
    </row>
    <row r="17" spans="1:15" x14ac:dyDescent="0.2">
      <c r="A17" s="99"/>
      <c r="B17" s="99"/>
      <c r="C17" s="99"/>
      <c r="D17" s="99"/>
      <c r="E17" s="10"/>
      <c r="F17" s="10"/>
      <c r="G17" s="10"/>
      <c r="H17" s="10"/>
      <c r="I17" s="10"/>
      <c r="J17" s="10"/>
      <c r="K17" s="10"/>
      <c r="L17" s="10"/>
      <c r="M17" s="10"/>
      <c r="N17" s="10"/>
      <c r="O17" s="10"/>
    </row>
    <row r="18" spans="1:15" x14ac:dyDescent="0.2">
      <c r="A18" s="99"/>
      <c r="B18" s="109"/>
      <c r="C18" s="109"/>
      <c r="D18" s="109"/>
      <c r="E18" s="10"/>
      <c r="F18" s="10"/>
      <c r="G18" s="10"/>
      <c r="H18" s="10"/>
      <c r="I18" s="10"/>
      <c r="J18" s="10"/>
      <c r="K18" s="10"/>
      <c r="L18" s="10"/>
      <c r="M18" s="10"/>
      <c r="N18" s="10"/>
      <c r="O18" s="10"/>
    </row>
    <row r="19" spans="1:15" x14ac:dyDescent="0.2">
      <c r="A19" s="99"/>
      <c r="B19" s="109"/>
      <c r="C19" s="109"/>
      <c r="D19" s="109"/>
      <c r="E19" s="10"/>
      <c r="F19" s="10"/>
      <c r="G19" s="10"/>
      <c r="H19" s="10"/>
      <c r="I19" s="10"/>
      <c r="J19" s="10"/>
      <c r="K19" s="10"/>
      <c r="L19" s="10"/>
      <c r="M19" s="10"/>
      <c r="N19" s="10"/>
      <c r="O19" s="10"/>
    </row>
    <row r="20" spans="1:15" x14ac:dyDescent="0.2">
      <c r="A20" s="99"/>
      <c r="B20" s="109"/>
      <c r="C20" s="109"/>
      <c r="D20" s="109"/>
      <c r="E20" s="10"/>
      <c r="F20" s="10"/>
      <c r="G20" s="10"/>
      <c r="H20" s="10"/>
      <c r="I20" s="10"/>
      <c r="J20" s="10"/>
      <c r="K20" s="10"/>
      <c r="L20" s="10"/>
      <c r="M20" s="10"/>
      <c r="N20" s="10"/>
      <c r="O20" s="10"/>
    </row>
    <row r="21" spans="1:15" x14ac:dyDescent="0.2">
      <c r="A21" s="99"/>
      <c r="B21" s="109"/>
      <c r="C21" s="109"/>
      <c r="D21" s="109"/>
      <c r="E21" s="10"/>
      <c r="F21" s="10"/>
      <c r="G21" s="10"/>
      <c r="H21" s="10"/>
      <c r="I21" s="10"/>
      <c r="J21" s="10"/>
      <c r="K21" s="10"/>
      <c r="L21" s="10"/>
      <c r="M21" s="10"/>
      <c r="N21" s="10"/>
      <c r="O21" s="10"/>
    </row>
    <row r="22" spans="1:15" ht="20.25" x14ac:dyDescent="0.2">
      <c r="A22" s="99"/>
      <c r="B22" s="99"/>
      <c r="C22" s="107"/>
      <c r="D22" s="107"/>
      <c r="E22" s="10"/>
      <c r="F22" s="10"/>
      <c r="G22" s="10"/>
      <c r="H22" s="10"/>
      <c r="I22" s="10"/>
      <c r="J22" s="10"/>
      <c r="K22" s="10"/>
      <c r="L22" s="10"/>
      <c r="M22" s="10"/>
      <c r="N22" s="10"/>
      <c r="O22" s="10"/>
    </row>
    <row r="23" spans="1:15" ht="20.25" x14ac:dyDescent="0.2">
      <c r="A23" s="99"/>
      <c r="B23" s="99"/>
      <c r="C23" s="107"/>
      <c r="D23" s="107"/>
      <c r="E23" s="10"/>
      <c r="F23" s="10"/>
      <c r="G23" s="10"/>
      <c r="H23" s="10"/>
      <c r="I23" s="10"/>
      <c r="J23" s="10"/>
      <c r="K23" s="10"/>
      <c r="L23" s="10"/>
      <c r="M23" s="10"/>
      <c r="N23" s="10"/>
      <c r="O23" s="10"/>
    </row>
    <row r="24" spans="1:15" ht="20.25" x14ac:dyDescent="0.2">
      <c r="A24" s="99"/>
      <c r="B24" s="99"/>
      <c r="C24" s="107"/>
      <c r="D24" s="107"/>
      <c r="E24" s="10"/>
      <c r="F24" s="10"/>
      <c r="G24" s="10"/>
      <c r="H24" s="10"/>
      <c r="I24" s="10"/>
      <c r="J24" s="10"/>
      <c r="K24" s="10"/>
      <c r="L24" s="10"/>
      <c r="M24" s="10"/>
      <c r="N24" s="10"/>
      <c r="O24" s="10"/>
    </row>
    <row r="25" spans="1:15" ht="20.25" x14ac:dyDescent="0.2">
      <c r="A25" s="99"/>
      <c r="B25" s="99"/>
      <c r="C25" s="107"/>
      <c r="D25" s="107"/>
      <c r="E25" s="10"/>
      <c r="F25" s="10"/>
      <c r="G25" s="10"/>
      <c r="H25" s="10"/>
      <c r="I25" s="10"/>
      <c r="J25" s="10"/>
      <c r="K25" s="10"/>
      <c r="L25" s="10"/>
      <c r="M25" s="10"/>
      <c r="N25" s="10"/>
      <c r="O25" s="10"/>
    </row>
    <row r="26" spans="1:15" ht="20.25" x14ac:dyDescent="0.2">
      <c r="A26" s="99"/>
      <c r="B26" s="99"/>
      <c r="C26" s="107"/>
      <c r="D26" s="107"/>
      <c r="E26" s="10"/>
      <c r="F26" s="10"/>
      <c r="G26" s="10"/>
      <c r="H26" s="10"/>
      <c r="I26" s="10"/>
      <c r="J26" s="10"/>
      <c r="K26" s="10"/>
      <c r="L26" s="10"/>
      <c r="M26" s="10"/>
      <c r="N26" s="10"/>
      <c r="O26" s="10"/>
    </row>
    <row r="27" spans="1:15" ht="20.25" x14ac:dyDescent="0.2">
      <c r="A27" s="99"/>
      <c r="B27" s="99"/>
      <c r="C27" s="107"/>
      <c r="D27" s="107"/>
      <c r="E27" s="10"/>
      <c r="F27" s="10"/>
      <c r="G27" s="10"/>
      <c r="H27" s="10"/>
      <c r="I27" s="10"/>
      <c r="J27" s="10"/>
      <c r="K27" s="10"/>
      <c r="L27" s="10"/>
      <c r="M27" s="10"/>
      <c r="N27" s="10"/>
      <c r="O27" s="10"/>
    </row>
    <row r="28" spans="1:15" ht="20.25" x14ac:dyDescent="0.2">
      <c r="A28" s="99"/>
      <c r="B28" s="99"/>
      <c r="C28" s="107"/>
      <c r="D28" s="107"/>
      <c r="E28" s="10"/>
      <c r="F28" s="10"/>
      <c r="G28" s="10"/>
      <c r="H28" s="10"/>
      <c r="I28" s="10"/>
      <c r="J28" s="10"/>
      <c r="K28" s="10"/>
      <c r="L28" s="10"/>
      <c r="M28" s="10"/>
      <c r="N28" s="10"/>
      <c r="O28" s="10"/>
    </row>
    <row r="29" spans="1:15" ht="20.25" x14ac:dyDescent="0.2">
      <c r="A29" s="99"/>
      <c r="B29" s="99"/>
      <c r="C29" s="107"/>
      <c r="D29" s="107"/>
      <c r="E29" s="10"/>
      <c r="F29" s="10"/>
      <c r="G29" s="10"/>
      <c r="H29" s="10"/>
      <c r="I29" s="10"/>
      <c r="J29" s="10"/>
      <c r="K29" s="10"/>
      <c r="L29" s="10"/>
      <c r="M29" s="10"/>
      <c r="N29" s="10"/>
      <c r="O29" s="10"/>
    </row>
    <row r="30" spans="1:15" ht="20.25" x14ac:dyDescent="0.2">
      <c r="A30" s="99"/>
      <c r="B30" s="99"/>
      <c r="C30" s="107"/>
      <c r="D30" s="107"/>
      <c r="E30" s="10"/>
      <c r="F30" s="10"/>
      <c r="G30" s="10"/>
      <c r="H30" s="10"/>
      <c r="I30" s="10"/>
      <c r="J30" s="10"/>
      <c r="K30" s="10"/>
      <c r="L30" s="10"/>
      <c r="M30" s="10"/>
      <c r="N30" s="10"/>
      <c r="O30" s="10"/>
    </row>
    <row r="31" spans="1:15" ht="20.25" x14ac:dyDescent="0.2">
      <c r="A31" s="99"/>
      <c r="B31" s="99"/>
      <c r="C31" s="107"/>
      <c r="D31" s="107"/>
      <c r="E31" s="10"/>
      <c r="F31" s="10"/>
      <c r="G31" s="10"/>
      <c r="H31" s="10"/>
      <c r="I31" s="10"/>
      <c r="J31" s="10"/>
      <c r="K31" s="10"/>
      <c r="L31" s="10"/>
      <c r="M31" s="10"/>
      <c r="N31" s="10"/>
      <c r="O31" s="10"/>
    </row>
    <row r="32" spans="1:15" ht="20.25" x14ac:dyDescent="0.2">
      <c r="A32" s="99"/>
      <c r="B32" s="99"/>
      <c r="C32" s="107"/>
      <c r="D32" s="107"/>
      <c r="E32" s="10"/>
      <c r="F32" s="10"/>
      <c r="G32" s="10"/>
      <c r="H32" s="10"/>
      <c r="I32" s="10"/>
      <c r="J32" s="10"/>
      <c r="K32" s="10"/>
      <c r="L32" s="10"/>
      <c r="M32" s="10"/>
      <c r="N32" s="10"/>
      <c r="O32" s="10"/>
    </row>
    <row r="33" spans="1:15" ht="20.25" x14ac:dyDescent="0.2">
      <c r="A33" s="99"/>
      <c r="B33" s="99"/>
      <c r="C33" s="107"/>
      <c r="D33" s="107"/>
      <c r="E33" s="10"/>
      <c r="F33" s="10"/>
      <c r="G33" s="10"/>
      <c r="H33" s="10"/>
      <c r="I33" s="10"/>
      <c r="J33" s="10"/>
      <c r="K33" s="10"/>
      <c r="L33" s="10"/>
      <c r="M33" s="10"/>
      <c r="N33" s="10"/>
      <c r="O33" s="10"/>
    </row>
    <row r="34" spans="1:15" ht="20.25" x14ac:dyDescent="0.2">
      <c r="A34" s="99"/>
      <c r="B34" s="99"/>
      <c r="C34" s="107"/>
      <c r="D34" s="107"/>
      <c r="E34" s="10"/>
      <c r="F34" s="10"/>
      <c r="G34" s="10"/>
      <c r="H34" s="10"/>
      <c r="I34" s="10"/>
      <c r="J34" s="10"/>
      <c r="K34" s="10"/>
      <c r="L34" s="10"/>
      <c r="M34" s="10"/>
      <c r="N34" s="10"/>
      <c r="O34" s="10"/>
    </row>
    <row r="35" spans="1:15" ht="20.25" x14ac:dyDescent="0.2">
      <c r="A35" s="99"/>
      <c r="B35" s="99"/>
      <c r="C35" s="107"/>
      <c r="D35" s="107"/>
      <c r="E35" s="10"/>
      <c r="F35" s="10"/>
      <c r="G35" s="10"/>
      <c r="H35" s="10"/>
      <c r="I35" s="10"/>
      <c r="J35" s="10"/>
      <c r="K35" s="10"/>
      <c r="L35" s="10"/>
      <c r="M35" s="10"/>
      <c r="N35" s="10"/>
      <c r="O35" s="10"/>
    </row>
    <row r="36" spans="1:15" ht="20.25" x14ac:dyDescent="0.2">
      <c r="A36" s="99"/>
      <c r="B36" s="99"/>
      <c r="C36" s="107"/>
      <c r="D36" s="107"/>
      <c r="E36" s="10"/>
      <c r="F36" s="10"/>
      <c r="G36" s="10"/>
      <c r="H36" s="10"/>
      <c r="I36" s="10"/>
      <c r="J36" s="10"/>
      <c r="K36" s="10"/>
      <c r="L36" s="10"/>
      <c r="M36" s="10"/>
      <c r="N36" s="10"/>
      <c r="O36" s="10"/>
    </row>
    <row r="37" spans="1:15" ht="20.25" x14ac:dyDescent="0.2">
      <c r="A37" s="99"/>
      <c r="B37" s="99"/>
      <c r="C37" s="107"/>
      <c r="D37" s="107"/>
      <c r="E37" s="10"/>
      <c r="F37" s="10"/>
      <c r="G37" s="10"/>
      <c r="H37" s="10"/>
      <c r="I37" s="10"/>
      <c r="J37" s="10"/>
      <c r="K37" s="10"/>
      <c r="L37" s="10"/>
      <c r="M37" s="10"/>
      <c r="N37" s="10"/>
      <c r="O37" s="10"/>
    </row>
    <row r="38" spans="1:15" ht="20.25" x14ac:dyDescent="0.2">
      <c r="A38" s="99"/>
      <c r="B38" s="99"/>
      <c r="C38" s="107"/>
      <c r="D38" s="107"/>
      <c r="E38" s="10"/>
      <c r="F38" s="10"/>
      <c r="G38" s="10"/>
      <c r="H38" s="10"/>
      <c r="I38" s="10"/>
      <c r="J38" s="10"/>
      <c r="K38" s="10"/>
      <c r="L38" s="10"/>
      <c r="M38" s="10"/>
      <c r="N38" s="10"/>
      <c r="O38" s="10"/>
    </row>
    <row r="39" spans="1:15" ht="20.25" x14ac:dyDescent="0.2">
      <c r="A39" s="99"/>
      <c r="B39" s="99"/>
      <c r="C39" s="107"/>
      <c r="D39" s="107"/>
      <c r="E39" s="10"/>
      <c r="F39" s="10"/>
      <c r="G39" s="10"/>
      <c r="H39" s="10"/>
      <c r="I39" s="10"/>
      <c r="J39" s="10"/>
      <c r="K39" s="10"/>
      <c r="L39" s="10"/>
      <c r="M39" s="10"/>
      <c r="N39" s="10"/>
      <c r="O39" s="10"/>
    </row>
    <row r="40" spans="1:15" ht="20.25" x14ac:dyDescent="0.2">
      <c r="A40" s="99"/>
      <c r="B40" s="99"/>
      <c r="C40" s="107"/>
      <c r="D40" s="107"/>
      <c r="E40" s="10"/>
      <c r="F40" s="10"/>
      <c r="G40" s="10"/>
      <c r="H40" s="10"/>
      <c r="I40" s="10"/>
      <c r="J40" s="10"/>
      <c r="K40" s="10"/>
      <c r="L40" s="10"/>
      <c r="M40" s="10"/>
      <c r="N40" s="10"/>
      <c r="O40" s="10"/>
    </row>
    <row r="41" spans="1:15" ht="20.25" x14ac:dyDescent="0.2">
      <c r="A41" s="99"/>
      <c r="B41" s="99"/>
      <c r="C41" s="107"/>
      <c r="D41" s="107"/>
      <c r="E41" s="10"/>
      <c r="F41" s="10"/>
      <c r="G41" s="10"/>
      <c r="H41" s="10"/>
      <c r="I41" s="10"/>
      <c r="J41" s="10"/>
      <c r="K41" s="10"/>
      <c r="L41" s="10"/>
      <c r="M41" s="10"/>
      <c r="N41" s="10"/>
      <c r="O41" s="10"/>
    </row>
    <row r="42" spans="1:15" ht="20.25" x14ac:dyDescent="0.2">
      <c r="A42" s="99"/>
      <c r="B42" s="99"/>
      <c r="C42" s="107"/>
      <c r="D42" s="107"/>
      <c r="E42" s="10"/>
      <c r="F42" s="10"/>
      <c r="G42" s="10"/>
      <c r="H42" s="10"/>
      <c r="I42" s="10"/>
      <c r="J42" s="10"/>
      <c r="K42" s="10"/>
      <c r="L42" s="10"/>
      <c r="M42" s="10"/>
      <c r="N42" s="10"/>
      <c r="O42" s="10"/>
    </row>
    <row r="43" spans="1:15" ht="20.25" x14ac:dyDescent="0.2">
      <c r="A43" s="99"/>
      <c r="B43" s="99"/>
      <c r="C43" s="107"/>
      <c r="D43" s="107"/>
      <c r="E43" s="10"/>
      <c r="F43" s="10"/>
      <c r="G43" s="10"/>
      <c r="H43" s="10"/>
      <c r="I43" s="10"/>
      <c r="J43" s="10"/>
      <c r="K43" s="10"/>
      <c r="L43" s="10"/>
      <c r="M43" s="10"/>
      <c r="N43" s="10"/>
      <c r="O43" s="10"/>
    </row>
    <row r="44" spans="1:15" ht="20.25" x14ac:dyDescent="0.2">
      <c r="A44" s="99"/>
      <c r="B44" s="99"/>
      <c r="C44" s="107"/>
      <c r="D44" s="107"/>
      <c r="E44" s="10"/>
      <c r="F44" s="10"/>
      <c r="G44" s="10"/>
      <c r="H44" s="10"/>
      <c r="I44" s="10"/>
      <c r="J44" s="10"/>
      <c r="K44" s="10"/>
      <c r="L44" s="10"/>
      <c r="M44" s="10"/>
      <c r="N44" s="10"/>
      <c r="O44" s="10"/>
    </row>
    <row r="45" spans="1:15" ht="20.25" x14ac:dyDescent="0.2">
      <c r="A45" s="99"/>
      <c r="B45" s="99"/>
      <c r="C45" s="107"/>
      <c r="D45" s="107"/>
      <c r="E45" s="10"/>
      <c r="F45" s="10"/>
      <c r="G45" s="10"/>
      <c r="H45" s="10"/>
      <c r="I45" s="10"/>
      <c r="J45" s="10"/>
      <c r="K45" s="10"/>
      <c r="L45" s="10"/>
      <c r="M45" s="10"/>
      <c r="N45" s="10"/>
      <c r="O45" s="10"/>
    </row>
    <row r="46" spans="1:15" ht="20.25" x14ac:dyDescent="0.2">
      <c r="A46" s="99"/>
      <c r="B46" s="99"/>
      <c r="C46" s="107"/>
      <c r="D46" s="107"/>
      <c r="E46" s="10"/>
      <c r="F46" s="10"/>
      <c r="G46" s="10"/>
      <c r="H46" s="10"/>
      <c r="I46" s="10"/>
      <c r="J46" s="10"/>
      <c r="K46" s="10"/>
      <c r="L46" s="10"/>
      <c r="M46" s="10"/>
      <c r="N46" s="10"/>
      <c r="O46" s="10"/>
    </row>
    <row r="47" spans="1:15" ht="20.25" x14ac:dyDescent="0.2">
      <c r="A47" s="99"/>
      <c r="B47" s="99"/>
      <c r="C47" s="107"/>
      <c r="D47" s="107"/>
      <c r="E47" s="10"/>
      <c r="F47" s="10"/>
      <c r="G47" s="10"/>
      <c r="H47" s="10"/>
      <c r="I47" s="10"/>
      <c r="J47" s="10"/>
      <c r="K47" s="10"/>
      <c r="L47" s="10"/>
      <c r="M47" s="10"/>
      <c r="N47" s="10"/>
      <c r="O47" s="10"/>
    </row>
    <row r="48" spans="1:15" ht="20.25" x14ac:dyDescent="0.2">
      <c r="A48" s="99"/>
      <c r="B48" s="99"/>
      <c r="C48" s="107"/>
      <c r="D48" s="107"/>
      <c r="E48" s="10"/>
      <c r="F48" s="10"/>
      <c r="G48" s="10"/>
      <c r="H48" s="10"/>
      <c r="I48" s="10"/>
      <c r="J48" s="10"/>
      <c r="K48" s="10"/>
      <c r="L48" s="10"/>
      <c r="M48" s="10"/>
      <c r="N48" s="10"/>
      <c r="O48" s="10"/>
    </row>
    <row r="49" spans="1:15" ht="20.25" x14ac:dyDescent="0.2">
      <c r="A49" s="99"/>
      <c r="B49" s="99"/>
      <c r="C49" s="107"/>
      <c r="D49" s="107"/>
      <c r="E49" s="10"/>
      <c r="F49" s="10"/>
      <c r="G49" s="10"/>
      <c r="H49" s="10"/>
      <c r="I49" s="10"/>
      <c r="J49" s="10"/>
      <c r="K49" s="10"/>
      <c r="L49" s="10"/>
      <c r="M49" s="10"/>
      <c r="N49" s="10"/>
      <c r="O49" s="10"/>
    </row>
    <row r="50" spans="1:15" ht="20.25" x14ac:dyDescent="0.2">
      <c r="A50" s="99"/>
      <c r="B50" s="99"/>
      <c r="C50" s="107"/>
      <c r="D50" s="107"/>
      <c r="E50" s="10"/>
      <c r="F50" s="10"/>
      <c r="G50" s="10"/>
      <c r="H50" s="10"/>
      <c r="I50" s="10"/>
      <c r="J50" s="10"/>
      <c r="K50" s="10"/>
      <c r="L50" s="10"/>
      <c r="M50" s="10"/>
      <c r="N50" s="10"/>
      <c r="O50" s="10"/>
    </row>
    <row r="51" spans="1:15" ht="20.25" x14ac:dyDescent="0.2">
      <c r="A51" s="99"/>
      <c r="B51" s="99"/>
      <c r="C51" s="107"/>
      <c r="D51" s="107"/>
      <c r="E51" s="10"/>
      <c r="F51" s="10"/>
      <c r="G51" s="10"/>
      <c r="H51" s="10"/>
      <c r="I51" s="10"/>
      <c r="J51" s="10"/>
      <c r="K51" s="10"/>
      <c r="L51" s="10"/>
      <c r="M51" s="10"/>
      <c r="N51" s="10"/>
      <c r="O51" s="10"/>
    </row>
    <row r="52" spans="1:15" ht="20.25" x14ac:dyDescent="0.2">
      <c r="A52" s="99"/>
      <c r="B52" s="110"/>
      <c r="C52" s="111"/>
      <c r="D52" s="111"/>
    </row>
    <row r="53" spans="1:15" ht="20.25" x14ac:dyDescent="0.2">
      <c r="A53" s="99"/>
      <c r="B53" s="110"/>
      <c r="C53" s="111"/>
      <c r="D53" s="111"/>
    </row>
    <row r="54" spans="1:15" ht="20.25" x14ac:dyDescent="0.2">
      <c r="A54" s="99"/>
      <c r="B54" s="110"/>
      <c r="C54" s="111"/>
      <c r="D54" s="111"/>
    </row>
    <row r="55" spans="1:15" ht="20.25" x14ac:dyDescent="0.2">
      <c r="A55" s="99"/>
      <c r="B55" s="110"/>
      <c r="C55" s="111"/>
      <c r="D55" s="111"/>
    </row>
    <row r="56" spans="1:15" ht="20.25" x14ac:dyDescent="0.2">
      <c r="A56" s="99"/>
      <c r="B56" s="110"/>
      <c r="C56" s="111"/>
      <c r="D56" s="111"/>
    </row>
    <row r="57" spans="1:15" ht="20.25" x14ac:dyDescent="0.2">
      <c r="A57" s="99"/>
      <c r="B57" s="110"/>
      <c r="C57" s="111"/>
      <c r="D57" s="111"/>
    </row>
    <row r="58" spans="1:15" ht="20.25" x14ac:dyDescent="0.2">
      <c r="A58" s="99"/>
      <c r="B58" s="110"/>
      <c r="C58" s="111"/>
      <c r="D58" s="111"/>
    </row>
    <row r="59" spans="1:15" ht="20.25" x14ac:dyDescent="0.2">
      <c r="A59" s="99"/>
      <c r="B59" s="110"/>
      <c r="C59" s="111"/>
      <c r="D59" s="111"/>
    </row>
    <row r="60" spans="1:15" ht="20.25" x14ac:dyDescent="0.2">
      <c r="A60" s="99"/>
      <c r="B60" s="110"/>
      <c r="C60" s="111"/>
      <c r="D60" s="111"/>
    </row>
    <row r="61" spans="1:15" ht="20.25" x14ac:dyDescent="0.2">
      <c r="A61" s="99"/>
      <c r="B61" s="110"/>
      <c r="C61" s="111"/>
      <c r="D61" s="111"/>
    </row>
    <row r="62" spans="1:15" ht="20.25" x14ac:dyDescent="0.2">
      <c r="A62" s="99"/>
      <c r="B62" s="110"/>
      <c r="C62" s="111"/>
      <c r="D62" s="111"/>
    </row>
    <row r="63" spans="1:15" ht="20.25" x14ac:dyDescent="0.2">
      <c r="A63" s="99"/>
      <c r="B63" s="110"/>
      <c r="C63" s="111"/>
      <c r="D63" s="111"/>
    </row>
    <row r="64" spans="1:15" ht="20.25" x14ac:dyDescent="0.2">
      <c r="A64" s="99"/>
      <c r="B64" s="110"/>
      <c r="C64" s="111"/>
      <c r="D64" s="111"/>
    </row>
    <row r="65" spans="1:4" ht="20.25" x14ac:dyDescent="0.2">
      <c r="A65" s="99"/>
      <c r="B65" s="110"/>
      <c r="C65" s="111"/>
      <c r="D65" s="111"/>
    </row>
    <row r="66" spans="1:4" ht="20.25" x14ac:dyDescent="0.2">
      <c r="A66" s="99"/>
      <c r="B66" s="110"/>
      <c r="C66" s="111"/>
      <c r="D66" s="111"/>
    </row>
    <row r="67" spans="1:4" ht="20.25" x14ac:dyDescent="0.2">
      <c r="A67" s="99"/>
      <c r="B67" s="110"/>
      <c r="C67" s="111"/>
      <c r="D67" s="111"/>
    </row>
    <row r="68" spans="1:4" ht="20.25" x14ac:dyDescent="0.2">
      <c r="A68" s="99"/>
      <c r="B68" s="110"/>
      <c r="C68" s="111"/>
      <c r="D68" s="111"/>
    </row>
    <row r="69" spans="1:4" ht="20.25" x14ac:dyDescent="0.2">
      <c r="A69" s="99"/>
      <c r="B69" s="110"/>
      <c r="C69" s="111"/>
      <c r="D69" s="111"/>
    </row>
    <row r="70" spans="1:4" ht="20.25" x14ac:dyDescent="0.2">
      <c r="A70" s="99"/>
      <c r="B70" s="110"/>
      <c r="C70" s="111"/>
      <c r="D70" s="111"/>
    </row>
    <row r="71" spans="1:4" ht="20.25" x14ac:dyDescent="0.2">
      <c r="A71" s="99"/>
      <c r="B71" s="110"/>
      <c r="C71" s="111"/>
      <c r="D71" s="111"/>
    </row>
    <row r="72" spans="1:4" ht="20.25" x14ac:dyDescent="0.2">
      <c r="A72" s="99"/>
      <c r="B72" s="110"/>
      <c r="C72" s="111"/>
      <c r="D72" s="111"/>
    </row>
    <row r="73" spans="1:4" ht="20.25" x14ac:dyDescent="0.2">
      <c r="A73" s="99"/>
      <c r="B73" s="110"/>
      <c r="C73" s="111"/>
      <c r="D73" s="111"/>
    </row>
    <row r="74" spans="1:4" ht="20.25" x14ac:dyDescent="0.2">
      <c r="A74" s="99"/>
      <c r="B74" s="110"/>
      <c r="C74" s="111"/>
      <c r="D74" s="111"/>
    </row>
    <row r="75" spans="1:4" ht="20.25" x14ac:dyDescent="0.2">
      <c r="A75" s="99"/>
      <c r="B75" s="110"/>
      <c r="C75" s="111"/>
      <c r="D75" s="111"/>
    </row>
    <row r="76" spans="1:4" ht="20.25" x14ac:dyDescent="0.2">
      <c r="A76" s="99"/>
      <c r="B76" s="110"/>
      <c r="C76" s="111"/>
      <c r="D76" s="111"/>
    </row>
    <row r="77" spans="1:4" ht="20.25" x14ac:dyDescent="0.2">
      <c r="A77" s="99"/>
      <c r="B77" s="110"/>
      <c r="C77" s="111"/>
      <c r="D77" s="111"/>
    </row>
    <row r="78" spans="1:4" ht="20.25" x14ac:dyDescent="0.2">
      <c r="A78" s="99"/>
      <c r="B78" s="110"/>
      <c r="C78" s="111"/>
      <c r="D78" s="111"/>
    </row>
    <row r="79" spans="1:4" ht="20.25" x14ac:dyDescent="0.2">
      <c r="A79" s="99"/>
      <c r="B79" s="110"/>
      <c r="C79" s="111"/>
      <c r="D79" s="111"/>
    </row>
    <row r="80" spans="1:4" ht="20.25" x14ac:dyDescent="0.2">
      <c r="A80" s="99"/>
      <c r="B80" s="110"/>
      <c r="C80" s="111"/>
      <c r="D80" s="111"/>
    </row>
    <row r="81" spans="1:4" ht="20.25" x14ac:dyDescent="0.2">
      <c r="A81" s="99"/>
      <c r="B81" s="110"/>
      <c r="C81" s="111"/>
      <c r="D81" s="111"/>
    </row>
    <row r="82" spans="1:4" ht="20.25" x14ac:dyDescent="0.2">
      <c r="A82" s="99"/>
      <c r="B82" s="110"/>
      <c r="C82" s="111"/>
      <c r="D82" s="111"/>
    </row>
    <row r="83" spans="1:4" ht="20.25" x14ac:dyDescent="0.2">
      <c r="A83" s="99"/>
      <c r="B83" s="110"/>
      <c r="C83" s="111"/>
      <c r="D83" s="111"/>
    </row>
    <row r="84" spans="1:4" ht="20.25" x14ac:dyDescent="0.2">
      <c r="A84" s="99"/>
      <c r="B84" s="110"/>
      <c r="C84" s="111"/>
      <c r="D84" s="111"/>
    </row>
    <row r="85" spans="1:4" ht="20.25" x14ac:dyDescent="0.2">
      <c r="A85" s="99"/>
      <c r="B85" s="110"/>
      <c r="C85" s="111"/>
      <c r="D85" s="111"/>
    </row>
    <row r="86" spans="1:4" ht="20.25" x14ac:dyDescent="0.2">
      <c r="A86" s="99"/>
      <c r="B86" s="110"/>
      <c r="C86" s="111"/>
      <c r="D86" s="111"/>
    </row>
    <row r="87" spans="1:4" ht="20.25" x14ac:dyDescent="0.2">
      <c r="A87" s="99"/>
      <c r="B87" s="110"/>
      <c r="C87" s="111"/>
      <c r="D87" s="111"/>
    </row>
    <row r="88" spans="1:4" ht="20.25" x14ac:dyDescent="0.2">
      <c r="A88" s="99"/>
      <c r="B88" s="110"/>
      <c r="C88" s="111"/>
      <c r="D88" s="111"/>
    </row>
    <row r="89" spans="1:4" ht="20.25" x14ac:dyDescent="0.2">
      <c r="A89" s="99"/>
      <c r="B89" s="110"/>
      <c r="C89" s="111"/>
      <c r="D89" s="111"/>
    </row>
    <row r="90" spans="1:4" ht="20.25" x14ac:dyDescent="0.2">
      <c r="A90" s="99"/>
      <c r="B90" s="110"/>
      <c r="C90" s="111"/>
      <c r="D90" s="111"/>
    </row>
    <row r="91" spans="1:4" ht="20.25" x14ac:dyDescent="0.2">
      <c r="A91" s="99"/>
      <c r="B91" s="110"/>
      <c r="C91" s="111"/>
      <c r="D91" s="111"/>
    </row>
    <row r="92" spans="1:4" ht="20.25" x14ac:dyDescent="0.2">
      <c r="A92" s="99"/>
      <c r="B92" s="110"/>
      <c r="C92" s="111"/>
      <c r="D92" s="111"/>
    </row>
    <row r="93" spans="1:4" ht="20.25" x14ac:dyDescent="0.2">
      <c r="A93" s="99"/>
      <c r="B93" s="110"/>
      <c r="C93" s="111"/>
      <c r="D93" s="111"/>
    </row>
    <row r="94" spans="1:4" ht="20.25" x14ac:dyDescent="0.2">
      <c r="A94" s="99"/>
      <c r="B94" s="110"/>
      <c r="C94" s="111"/>
      <c r="D94" s="111"/>
    </row>
    <row r="95" spans="1:4" ht="20.25" x14ac:dyDescent="0.2">
      <c r="A95" s="99"/>
      <c r="B95" s="110"/>
      <c r="C95" s="111"/>
      <c r="D95" s="111"/>
    </row>
    <row r="96" spans="1:4" ht="20.25" x14ac:dyDescent="0.2">
      <c r="A96" s="99"/>
      <c r="B96" s="110"/>
      <c r="C96" s="111"/>
      <c r="D96" s="111"/>
    </row>
    <row r="97" spans="1:4" ht="20.25" x14ac:dyDescent="0.2">
      <c r="A97" s="99"/>
      <c r="B97" s="110"/>
      <c r="C97" s="111"/>
      <c r="D97" s="111"/>
    </row>
    <row r="98" spans="1:4" ht="20.25" x14ac:dyDescent="0.2">
      <c r="A98" s="99"/>
      <c r="B98" s="110"/>
      <c r="C98" s="111"/>
      <c r="D98" s="111"/>
    </row>
    <row r="99" spans="1:4" ht="20.25" x14ac:dyDescent="0.2">
      <c r="A99" s="99"/>
      <c r="B99" s="110"/>
      <c r="C99" s="111"/>
      <c r="D99" s="111"/>
    </row>
    <row r="100" spans="1:4" ht="20.25" x14ac:dyDescent="0.2">
      <c r="A100" s="99"/>
      <c r="B100" s="110"/>
      <c r="C100" s="111"/>
      <c r="D100" s="111"/>
    </row>
    <row r="101" spans="1:4" ht="20.25" x14ac:dyDescent="0.2">
      <c r="A101" s="99"/>
      <c r="B101" s="110"/>
      <c r="C101" s="111"/>
      <c r="D101" s="111"/>
    </row>
    <row r="102" spans="1:4" ht="20.25" x14ac:dyDescent="0.2">
      <c r="A102" s="99"/>
      <c r="B102" s="110"/>
      <c r="C102" s="111"/>
      <c r="D102" s="111"/>
    </row>
    <row r="103" spans="1:4" ht="20.25" x14ac:dyDescent="0.2">
      <c r="A103" s="99"/>
      <c r="B103" s="110"/>
      <c r="C103" s="111"/>
      <c r="D103" s="111"/>
    </row>
    <row r="104" spans="1:4" ht="20.25" x14ac:dyDescent="0.2">
      <c r="A104" s="99"/>
      <c r="B104" s="110"/>
      <c r="C104" s="111"/>
      <c r="D104" s="111"/>
    </row>
    <row r="105" spans="1:4" ht="20.25" x14ac:dyDescent="0.2">
      <c r="A105" s="99"/>
      <c r="B105" s="110"/>
      <c r="C105" s="111"/>
      <c r="D105" s="111"/>
    </row>
    <row r="106" spans="1:4" ht="20.25" x14ac:dyDescent="0.2">
      <c r="A106" s="99"/>
      <c r="B106" s="110"/>
      <c r="C106" s="111"/>
      <c r="D106" s="111"/>
    </row>
    <row r="107" spans="1:4" ht="20.25" x14ac:dyDescent="0.2">
      <c r="A107" s="99"/>
      <c r="B107" s="110"/>
      <c r="C107" s="111"/>
      <c r="D107" s="111"/>
    </row>
    <row r="108" spans="1:4" ht="20.25" x14ac:dyDescent="0.2">
      <c r="A108" s="99"/>
      <c r="B108" s="110"/>
      <c r="C108" s="111"/>
      <c r="D108" s="111"/>
    </row>
    <row r="109" spans="1:4" ht="20.25" x14ac:dyDescent="0.2">
      <c r="A109" s="99"/>
      <c r="B109" s="110"/>
      <c r="C109" s="111"/>
      <c r="D109" s="111"/>
    </row>
    <row r="110" spans="1:4" ht="20.25" x14ac:dyDescent="0.2">
      <c r="A110" s="99"/>
      <c r="B110" s="110"/>
      <c r="C110" s="111"/>
      <c r="D110" s="111"/>
    </row>
    <row r="111" spans="1:4" ht="20.25" x14ac:dyDescent="0.2">
      <c r="A111" s="99"/>
      <c r="B111" s="110"/>
      <c r="C111" s="111"/>
      <c r="D111" s="111"/>
    </row>
    <row r="112" spans="1:4" ht="20.25" x14ac:dyDescent="0.2">
      <c r="A112" s="99"/>
      <c r="B112" s="110"/>
      <c r="C112" s="111"/>
      <c r="D112" s="111"/>
    </row>
    <row r="113" spans="1:4" ht="20.25" x14ac:dyDescent="0.2">
      <c r="A113" s="99"/>
      <c r="B113" s="110"/>
      <c r="C113" s="111"/>
      <c r="D113" s="111"/>
    </row>
    <row r="114" spans="1:4" ht="20.25" x14ac:dyDescent="0.2">
      <c r="A114" s="99"/>
      <c r="B114" s="110"/>
      <c r="C114" s="111"/>
      <c r="D114" s="111"/>
    </row>
    <row r="115" spans="1:4" ht="20.25" x14ac:dyDescent="0.2">
      <c r="A115" s="99"/>
      <c r="B115" s="110"/>
      <c r="C115" s="111"/>
      <c r="D115" s="111"/>
    </row>
    <row r="116" spans="1:4" ht="20.25" x14ac:dyDescent="0.2">
      <c r="A116" s="99"/>
      <c r="B116" s="110"/>
      <c r="C116" s="111"/>
      <c r="D116" s="111"/>
    </row>
    <row r="117" spans="1:4" ht="20.25" x14ac:dyDescent="0.2">
      <c r="A117" s="99"/>
      <c r="B117" s="110"/>
      <c r="C117" s="111"/>
      <c r="D117" s="111"/>
    </row>
    <row r="118" spans="1:4" ht="20.25" x14ac:dyDescent="0.2">
      <c r="A118" s="99"/>
      <c r="B118" s="110"/>
      <c r="C118" s="111"/>
      <c r="D118" s="111"/>
    </row>
    <row r="119" spans="1:4" ht="20.25" x14ac:dyDescent="0.2">
      <c r="A119" s="99"/>
      <c r="B119" s="110"/>
      <c r="C119" s="111"/>
      <c r="D119" s="111"/>
    </row>
    <row r="120" spans="1:4" ht="20.25" x14ac:dyDescent="0.2">
      <c r="A120" s="99"/>
      <c r="B120" s="110"/>
      <c r="C120" s="111"/>
      <c r="D120" s="111"/>
    </row>
    <row r="121" spans="1:4" ht="20.25" x14ac:dyDescent="0.2">
      <c r="A121" s="99"/>
      <c r="B121" s="110"/>
      <c r="C121" s="111"/>
      <c r="D121" s="111"/>
    </row>
    <row r="122" spans="1:4" ht="20.25" x14ac:dyDescent="0.2">
      <c r="A122" s="99"/>
      <c r="B122" s="110"/>
      <c r="C122" s="111"/>
      <c r="D122" s="111"/>
    </row>
    <row r="123" spans="1:4" ht="20.25" x14ac:dyDescent="0.2">
      <c r="A123" s="99"/>
      <c r="B123" s="110"/>
      <c r="C123" s="111"/>
      <c r="D123" s="111"/>
    </row>
    <row r="124" spans="1:4" ht="20.25" x14ac:dyDescent="0.2">
      <c r="A124" s="99"/>
      <c r="B124" s="110"/>
      <c r="C124" s="111"/>
      <c r="D124" s="111"/>
    </row>
    <row r="125" spans="1:4" ht="20.25" x14ac:dyDescent="0.2">
      <c r="A125" s="99"/>
      <c r="B125" s="110"/>
      <c r="C125" s="111"/>
      <c r="D125" s="111"/>
    </row>
    <row r="126" spans="1:4" ht="20.25" x14ac:dyDescent="0.2">
      <c r="A126" s="99"/>
      <c r="B126" s="110"/>
      <c r="C126" s="111"/>
      <c r="D126" s="111"/>
    </row>
    <row r="127" spans="1:4" ht="20.25" x14ac:dyDescent="0.2">
      <c r="A127" s="99"/>
      <c r="B127" s="110"/>
      <c r="C127" s="111"/>
      <c r="D127" s="111"/>
    </row>
    <row r="128" spans="1:4" ht="20.25" x14ac:dyDescent="0.2">
      <c r="A128" s="99"/>
      <c r="B128" s="110"/>
      <c r="C128" s="111"/>
      <c r="D128" s="111"/>
    </row>
    <row r="129" spans="1:4" ht="20.25" x14ac:dyDescent="0.2">
      <c r="A129" s="99"/>
      <c r="B129" s="110"/>
      <c r="C129" s="111"/>
      <c r="D129" s="111"/>
    </row>
    <row r="130" spans="1:4" ht="20.25" x14ac:dyDescent="0.2">
      <c r="A130" s="99"/>
      <c r="B130" s="110"/>
      <c r="C130" s="111"/>
      <c r="D130" s="111"/>
    </row>
    <row r="131" spans="1:4" ht="20.25" x14ac:dyDescent="0.2">
      <c r="A131" s="99"/>
      <c r="B131" s="110"/>
      <c r="C131" s="111"/>
      <c r="D131" s="111"/>
    </row>
    <row r="132" spans="1:4" ht="20.25" x14ac:dyDescent="0.2">
      <c r="A132" s="99"/>
      <c r="B132" s="110"/>
      <c r="C132" s="111"/>
      <c r="D132" s="111"/>
    </row>
    <row r="133" spans="1:4" ht="20.25" x14ac:dyDescent="0.2">
      <c r="A133" s="99"/>
      <c r="B133" s="110"/>
      <c r="C133" s="111"/>
      <c r="D133" s="111"/>
    </row>
    <row r="134" spans="1:4" ht="20.25" x14ac:dyDescent="0.2">
      <c r="A134" s="99"/>
      <c r="B134" s="110"/>
      <c r="C134" s="111"/>
      <c r="D134" s="111"/>
    </row>
    <row r="135" spans="1:4" ht="20.25" x14ac:dyDescent="0.2">
      <c r="A135" s="99"/>
      <c r="B135" s="110"/>
      <c r="C135" s="111"/>
      <c r="D135" s="111"/>
    </row>
    <row r="136" spans="1:4" ht="20.25" x14ac:dyDescent="0.2">
      <c r="A136" s="99"/>
      <c r="B136" s="110"/>
      <c r="C136" s="111"/>
      <c r="D136" s="111"/>
    </row>
    <row r="137" spans="1:4" ht="20.25" x14ac:dyDescent="0.2">
      <c r="A137" s="99"/>
      <c r="B137" s="110"/>
      <c r="C137" s="111"/>
      <c r="D137" s="111"/>
    </row>
    <row r="138" spans="1:4" ht="20.25" x14ac:dyDescent="0.2">
      <c r="A138" s="99"/>
      <c r="B138" s="110"/>
      <c r="C138" s="111"/>
      <c r="D138" s="111"/>
    </row>
    <row r="139" spans="1:4" ht="20.25" x14ac:dyDescent="0.2">
      <c r="A139" s="99"/>
      <c r="B139" s="110"/>
      <c r="C139" s="111"/>
      <c r="D139" s="111"/>
    </row>
    <row r="140" spans="1:4" ht="20.25" x14ac:dyDescent="0.2">
      <c r="A140" s="99"/>
      <c r="B140" s="110"/>
      <c r="C140" s="111"/>
      <c r="D140" s="111"/>
    </row>
    <row r="141" spans="1:4" ht="20.25" x14ac:dyDescent="0.2">
      <c r="A141" s="99"/>
      <c r="B141" s="110"/>
      <c r="C141" s="111"/>
      <c r="D141" s="111"/>
    </row>
    <row r="142" spans="1:4" ht="20.25" x14ac:dyDescent="0.2">
      <c r="A142" s="99"/>
      <c r="B142" s="110"/>
      <c r="C142" s="111"/>
      <c r="D142" s="111"/>
    </row>
    <row r="143" spans="1:4" ht="20.25" x14ac:dyDescent="0.2">
      <c r="A143" s="99"/>
      <c r="B143" s="110"/>
      <c r="C143" s="111"/>
      <c r="D143" s="111"/>
    </row>
    <row r="144" spans="1:4" ht="20.25" x14ac:dyDescent="0.2">
      <c r="A144" s="99"/>
      <c r="B144" s="110"/>
      <c r="C144" s="111"/>
      <c r="D144" s="111"/>
    </row>
    <row r="145" spans="1:4" ht="20.25" x14ac:dyDescent="0.2">
      <c r="A145" s="99"/>
      <c r="B145" s="110"/>
      <c r="C145" s="111"/>
      <c r="D145" s="111"/>
    </row>
    <row r="146" spans="1:4" ht="20.25" x14ac:dyDescent="0.2">
      <c r="A146" s="99"/>
      <c r="B146" s="110"/>
      <c r="C146" s="111"/>
      <c r="D146" s="111"/>
    </row>
    <row r="147" spans="1:4" ht="20.25" x14ac:dyDescent="0.2">
      <c r="A147" s="99"/>
      <c r="B147" s="110"/>
      <c r="C147" s="111"/>
      <c r="D147" s="111"/>
    </row>
    <row r="148" spans="1:4" ht="20.25" x14ac:dyDescent="0.2">
      <c r="A148" s="99"/>
      <c r="B148" s="110"/>
      <c r="C148" s="111"/>
      <c r="D148" s="111"/>
    </row>
    <row r="149" spans="1:4" ht="20.25" x14ac:dyDescent="0.2">
      <c r="A149" s="99"/>
      <c r="B149" s="110"/>
      <c r="C149" s="111"/>
      <c r="D149" s="111"/>
    </row>
    <row r="150" spans="1:4" ht="20.25" x14ac:dyDescent="0.2">
      <c r="A150" s="99"/>
      <c r="B150" s="110"/>
      <c r="C150" s="111"/>
      <c r="D150" s="111"/>
    </row>
    <row r="151" spans="1:4" ht="20.25" x14ac:dyDescent="0.2">
      <c r="A151" s="99"/>
      <c r="B151" s="110"/>
      <c r="C151" s="111"/>
      <c r="D151" s="111"/>
    </row>
    <row r="152" spans="1:4" ht="20.25" x14ac:dyDescent="0.2">
      <c r="A152" s="99"/>
      <c r="B152" s="110"/>
      <c r="C152" s="111"/>
      <c r="D152" s="111"/>
    </row>
    <row r="153" spans="1:4" ht="20.25" x14ac:dyDescent="0.2">
      <c r="A153" s="99"/>
      <c r="B153" s="110"/>
      <c r="C153" s="111"/>
      <c r="D153" s="111"/>
    </row>
    <row r="154" spans="1:4" ht="20.25" x14ac:dyDescent="0.2">
      <c r="A154" s="99"/>
      <c r="B154" s="110"/>
      <c r="C154" s="111"/>
      <c r="D154" s="111"/>
    </row>
    <row r="155" spans="1:4" ht="20.25" x14ac:dyDescent="0.2">
      <c r="A155" s="99"/>
      <c r="B155" s="110"/>
      <c r="C155" s="111"/>
      <c r="D155" s="111"/>
    </row>
    <row r="156" spans="1:4" ht="20.25" x14ac:dyDescent="0.2">
      <c r="A156" s="99"/>
      <c r="B156" s="110"/>
      <c r="C156" s="111"/>
      <c r="D156" s="111"/>
    </row>
    <row r="157" spans="1:4" ht="20.25" x14ac:dyDescent="0.2">
      <c r="A157" s="99"/>
      <c r="B157" s="110"/>
      <c r="C157" s="111"/>
      <c r="D157" s="111"/>
    </row>
    <row r="158" spans="1:4" ht="20.25" x14ac:dyDescent="0.2">
      <c r="A158" s="99"/>
      <c r="B158" s="110"/>
      <c r="C158" s="111"/>
      <c r="D158" s="111"/>
    </row>
    <row r="159" spans="1:4" ht="20.25" x14ac:dyDescent="0.2">
      <c r="A159" s="99"/>
      <c r="B159" s="110"/>
      <c r="C159" s="111"/>
      <c r="D159" s="111"/>
    </row>
    <row r="160" spans="1:4" ht="20.25" x14ac:dyDescent="0.2">
      <c r="A160" s="99"/>
      <c r="B160" s="110"/>
      <c r="C160" s="111"/>
      <c r="D160" s="111"/>
    </row>
    <row r="161" spans="1:4" ht="20.25" x14ac:dyDescent="0.2">
      <c r="A161" s="99"/>
      <c r="B161" s="110"/>
      <c r="C161" s="111"/>
      <c r="D161" s="111"/>
    </row>
    <row r="162" spans="1:4" ht="20.25" x14ac:dyDescent="0.2">
      <c r="A162" s="99"/>
      <c r="B162" s="110"/>
      <c r="C162" s="111"/>
      <c r="D162" s="111"/>
    </row>
    <row r="163" spans="1:4" ht="20.25" x14ac:dyDescent="0.2">
      <c r="A163" s="99"/>
      <c r="B163" s="110"/>
      <c r="C163" s="111"/>
      <c r="D163" s="111"/>
    </row>
    <row r="164" spans="1:4" ht="20.25" x14ac:dyDescent="0.2">
      <c r="A164" s="99"/>
      <c r="B164" s="110"/>
      <c r="C164" s="111"/>
      <c r="D164" s="111"/>
    </row>
    <row r="165" spans="1:4" ht="20.25" x14ac:dyDescent="0.2">
      <c r="A165" s="99"/>
      <c r="B165" s="110"/>
      <c r="C165" s="111"/>
      <c r="D165" s="111"/>
    </row>
    <row r="166" spans="1:4" ht="20.25" x14ac:dyDescent="0.2">
      <c r="A166" s="99"/>
      <c r="B166" s="110"/>
      <c r="C166" s="111"/>
      <c r="D166" s="111"/>
    </row>
    <row r="167" spans="1:4" ht="20.25" x14ac:dyDescent="0.2">
      <c r="A167" s="99"/>
      <c r="B167" s="110"/>
      <c r="C167" s="111"/>
      <c r="D167" s="111"/>
    </row>
    <row r="168" spans="1:4" ht="20.25" x14ac:dyDescent="0.2">
      <c r="A168" s="99"/>
      <c r="B168" s="110"/>
      <c r="C168" s="111"/>
      <c r="D168" s="111"/>
    </row>
    <row r="169" spans="1:4" ht="20.25" x14ac:dyDescent="0.2">
      <c r="A169" s="99"/>
      <c r="B169" s="110"/>
      <c r="C169" s="111"/>
      <c r="D169" s="111"/>
    </row>
    <row r="170" spans="1:4" ht="20.25" x14ac:dyDescent="0.2">
      <c r="A170" s="99"/>
      <c r="B170" s="110"/>
      <c r="C170" s="111"/>
      <c r="D170" s="111"/>
    </row>
    <row r="171" spans="1:4" ht="20.25" x14ac:dyDescent="0.2">
      <c r="A171" s="99"/>
      <c r="B171" s="110"/>
      <c r="C171" s="111"/>
      <c r="D171" s="111"/>
    </row>
    <row r="172" spans="1:4" ht="20.25" x14ac:dyDescent="0.2">
      <c r="A172" s="99"/>
      <c r="B172" s="110"/>
      <c r="C172" s="111"/>
      <c r="D172" s="111"/>
    </row>
    <row r="173" spans="1:4" ht="20.25" x14ac:dyDescent="0.2">
      <c r="A173" s="99"/>
      <c r="B173" s="110"/>
      <c r="C173" s="111"/>
      <c r="D173" s="111"/>
    </row>
    <row r="174" spans="1:4" ht="20.25" x14ac:dyDescent="0.2">
      <c r="A174" s="99"/>
      <c r="B174" s="110"/>
      <c r="C174" s="111"/>
      <c r="D174" s="111"/>
    </row>
    <row r="175" spans="1:4" ht="20.25" x14ac:dyDescent="0.2">
      <c r="A175" s="99"/>
      <c r="B175" s="110"/>
      <c r="C175" s="111"/>
      <c r="D175" s="111"/>
    </row>
    <row r="176" spans="1:4" ht="20.25" x14ac:dyDescent="0.2">
      <c r="A176" s="99"/>
      <c r="B176" s="110"/>
      <c r="C176" s="111"/>
      <c r="D176" s="111"/>
    </row>
    <row r="177" spans="1:4" ht="20.25" x14ac:dyDescent="0.2">
      <c r="A177" s="99"/>
      <c r="B177" s="110"/>
      <c r="C177" s="111"/>
      <c r="D177" s="111"/>
    </row>
    <row r="178" spans="1:4" ht="20.25" x14ac:dyDescent="0.2">
      <c r="A178" s="99"/>
      <c r="B178" s="110"/>
      <c r="C178" s="111"/>
      <c r="D178" s="111"/>
    </row>
    <row r="179" spans="1:4" ht="20.25" x14ac:dyDescent="0.2">
      <c r="A179" s="99"/>
      <c r="B179" s="110"/>
      <c r="C179" s="111"/>
      <c r="D179" s="111"/>
    </row>
    <row r="180" spans="1:4" ht="20.25" x14ac:dyDescent="0.2">
      <c r="A180" s="99"/>
      <c r="B180" s="110"/>
      <c r="C180" s="111"/>
      <c r="D180" s="111"/>
    </row>
    <row r="181" spans="1:4" ht="20.25" x14ac:dyDescent="0.2">
      <c r="A181" s="99"/>
      <c r="B181" s="110"/>
      <c r="C181" s="111"/>
      <c r="D181" s="111"/>
    </row>
    <row r="182" spans="1:4" ht="20.25" x14ac:dyDescent="0.2">
      <c r="A182" s="99"/>
      <c r="B182" s="110"/>
      <c r="C182" s="111"/>
      <c r="D182" s="111"/>
    </row>
    <row r="183" spans="1:4" ht="20.25" x14ac:dyDescent="0.2">
      <c r="A183" s="99"/>
      <c r="B183" s="110"/>
      <c r="C183" s="111"/>
      <c r="D183" s="111"/>
    </row>
    <row r="184" spans="1:4" ht="20.25" x14ac:dyDescent="0.2">
      <c r="A184" s="99"/>
      <c r="B184" s="110"/>
      <c r="C184" s="111"/>
      <c r="D184" s="111"/>
    </row>
    <row r="185" spans="1:4" ht="20.25" x14ac:dyDescent="0.2">
      <c r="A185" s="99"/>
      <c r="B185" s="110"/>
      <c r="C185" s="111"/>
      <c r="D185" s="111"/>
    </row>
    <row r="186" spans="1:4" ht="20.25" x14ac:dyDescent="0.2">
      <c r="A186" s="99"/>
      <c r="B186" s="110"/>
      <c r="C186" s="111"/>
      <c r="D186" s="111"/>
    </row>
    <row r="187" spans="1:4" ht="20.25" x14ac:dyDescent="0.2">
      <c r="A187" s="99"/>
      <c r="B187" s="110"/>
      <c r="C187" s="111"/>
      <c r="D187" s="111"/>
    </row>
    <row r="188" spans="1:4" ht="20.25" x14ac:dyDescent="0.2">
      <c r="A188" s="99"/>
      <c r="B188" s="110"/>
      <c r="C188" s="111"/>
      <c r="D188" s="111"/>
    </row>
    <row r="189" spans="1:4" ht="20.25" x14ac:dyDescent="0.2">
      <c r="A189" s="99"/>
      <c r="B189" s="110"/>
      <c r="C189" s="111"/>
      <c r="D189" s="111"/>
    </row>
    <row r="190" spans="1:4" ht="20.25" x14ac:dyDescent="0.2">
      <c r="A190" s="99"/>
      <c r="B190" s="110"/>
      <c r="C190" s="111"/>
      <c r="D190" s="111"/>
    </row>
    <row r="191" spans="1:4" ht="20.25" x14ac:dyDescent="0.2">
      <c r="A191" s="99"/>
      <c r="B191" s="110"/>
      <c r="C191" s="111"/>
      <c r="D191" s="111"/>
    </row>
    <row r="192" spans="1:4" ht="20.25" x14ac:dyDescent="0.2">
      <c r="A192" s="99"/>
      <c r="B192" s="110"/>
      <c r="C192" s="111"/>
      <c r="D192" s="111"/>
    </row>
    <row r="193" spans="1:4" ht="20.25" x14ac:dyDescent="0.2">
      <c r="A193" s="99"/>
      <c r="B193" s="110"/>
      <c r="C193" s="111"/>
      <c r="D193" s="111"/>
    </row>
    <row r="194" spans="1:4" ht="20.25" x14ac:dyDescent="0.2">
      <c r="A194" s="99"/>
      <c r="B194" s="110"/>
      <c r="C194" s="111"/>
      <c r="D194" s="111"/>
    </row>
    <row r="195" spans="1:4" ht="20.25" x14ac:dyDescent="0.2">
      <c r="A195" s="99"/>
      <c r="B195" s="110"/>
      <c r="C195" s="111"/>
      <c r="D195" s="111"/>
    </row>
    <row r="196" spans="1:4" ht="20.25" x14ac:dyDescent="0.2">
      <c r="A196" s="99"/>
      <c r="B196" s="110"/>
      <c r="C196" s="111"/>
      <c r="D196" s="111"/>
    </row>
    <row r="197" spans="1:4" ht="20.25" x14ac:dyDescent="0.2">
      <c r="A197" s="99"/>
      <c r="B197" s="110"/>
      <c r="C197" s="111"/>
      <c r="D197" s="111"/>
    </row>
    <row r="198" spans="1:4" ht="20.25" x14ac:dyDescent="0.2">
      <c r="A198" s="99"/>
      <c r="B198" s="110"/>
      <c r="C198" s="111"/>
      <c r="D198" s="111"/>
    </row>
    <row r="199" spans="1:4" ht="20.25" x14ac:dyDescent="0.2">
      <c r="A199" s="99"/>
      <c r="B199" s="110"/>
      <c r="C199" s="111"/>
      <c r="D199" s="111"/>
    </row>
    <row r="200" spans="1:4" ht="20.25" x14ac:dyDescent="0.2">
      <c r="A200" s="99"/>
      <c r="B200" s="110"/>
      <c r="C200" s="111"/>
      <c r="D200" s="111"/>
    </row>
    <row r="201" spans="1:4" ht="20.25" x14ac:dyDescent="0.2">
      <c r="A201" s="99"/>
      <c r="B201" s="110"/>
      <c r="C201" s="111"/>
      <c r="D201" s="111"/>
    </row>
    <row r="202" spans="1:4" ht="20.25" x14ac:dyDescent="0.2">
      <c r="A202" s="99"/>
      <c r="B202" s="110"/>
      <c r="C202" s="111"/>
      <c r="D202" s="111"/>
    </row>
    <row r="203" spans="1:4" ht="20.25" x14ac:dyDescent="0.2">
      <c r="A203" s="99"/>
      <c r="B203" s="110"/>
      <c r="C203" s="111"/>
      <c r="D203" s="111"/>
    </row>
    <row r="204" spans="1:4" ht="20.25" x14ac:dyDescent="0.2">
      <c r="A204" s="99"/>
      <c r="B204" s="110"/>
      <c r="C204" s="111"/>
      <c r="D204" s="111"/>
    </row>
    <row r="205" spans="1:4" ht="20.25" x14ac:dyDescent="0.2">
      <c r="A205" s="99"/>
      <c r="B205" s="110"/>
      <c r="C205" s="111"/>
      <c r="D205" s="111"/>
    </row>
    <row r="206" spans="1:4" ht="20.25" x14ac:dyDescent="0.2">
      <c r="A206" s="99"/>
      <c r="B206" s="110"/>
      <c r="C206" s="111"/>
      <c r="D206" s="111"/>
    </row>
    <row r="207" spans="1:4" ht="20.25" x14ac:dyDescent="0.2">
      <c r="A207" s="99"/>
      <c r="B207" s="110"/>
      <c r="C207" s="111"/>
      <c r="D207" s="111"/>
    </row>
    <row r="208" spans="1:4" x14ac:dyDescent="0.2">
      <c r="A208" s="10"/>
      <c r="B208" s="110"/>
      <c r="C208" s="110"/>
      <c r="D208" s="110"/>
    </row>
    <row r="209" spans="1:8" ht="20.25" x14ac:dyDescent="0.2">
      <c r="A209" s="10"/>
      <c r="B209" s="112" t="s">
        <v>81</v>
      </c>
      <c r="C209" s="112" t="s">
        <v>124</v>
      </c>
      <c r="D209" s="113" t="s">
        <v>81</v>
      </c>
      <c r="E209" s="113" t="s">
        <v>124</v>
      </c>
    </row>
    <row r="210" spans="1:8" ht="20.25" x14ac:dyDescent="0.3">
      <c r="A210" s="10"/>
      <c r="B210" s="114" t="s">
        <v>83</v>
      </c>
      <c r="C210" s="114" t="s">
        <v>52</v>
      </c>
      <c r="D210" s="8" t="s">
        <v>83</v>
      </c>
      <c r="F210" s="8" t="str">
        <f>IF(NOT(ISBLANK(D210)),D210,IF(NOT(ISBLANK(E210)),"     "&amp;E210,FALSE))</f>
        <v>Afectación Económica o presupuestal</v>
      </c>
      <c r="G210" s="8" t="s">
        <v>83</v>
      </c>
      <c r="H210" s="8" t="str">
        <f>IF(NOT(ISERROR(MATCH(G210,_xlfn.ANCHORARRAY(B221),0))),F223&amp;"Por favor no seleccionar los criterios de impacto",G210)</f>
        <v>❌Por favor no seleccionar los criterios de impacto</v>
      </c>
    </row>
    <row r="211" spans="1:8" ht="20.25" x14ac:dyDescent="0.3">
      <c r="A211" s="10"/>
      <c r="B211" s="114" t="s">
        <v>83</v>
      </c>
      <c r="C211" s="114" t="s">
        <v>86</v>
      </c>
      <c r="E211" s="8" t="s">
        <v>52</v>
      </c>
      <c r="F211" s="8" t="str">
        <f t="shared" ref="F211:F221" si="0">IF(NOT(ISBLANK(D211)),D211,IF(NOT(ISBLANK(E211)),"     "&amp;E211,FALSE))</f>
        <v xml:space="preserve">     Afectación menor a 10 SMLMV .</v>
      </c>
    </row>
    <row r="212" spans="1:8" ht="20.25" x14ac:dyDescent="0.3">
      <c r="A212" s="10"/>
      <c r="B212" s="114" t="s">
        <v>83</v>
      </c>
      <c r="C212" s="114" t="s">
        <v>87</v>
      </c>
      <c r="E212" s="8" t="s">
        <v>86</v>
      </c>
      <c r="F212" s="8" t="str">
        <f t="shared" si="0"/>
        <v xml:space="preserve">     Entre 10 y 50 SMLMV </v>
      </c>
    </row>
    <row r="213" spans="1:8" ht="20.25" x14ac:dyDescent="0.3">
      <c r="A213" s="10"/>
      <c r="B213" s="114" t="s">
        <v>83</v>
      </c>
      <c r="C213" s="114" t="s">
        <v>88</v>
      </c>
      <c r="E213" s="8" t="s">
        <v>87</v>
      </c>
      <c r="F213" s="8" t="str">
        <f t="shared" si="0"/>
        <v xml:space="preserve">     Entre 50 y 100 SMLMV </v>
      </c>
    </row>
    <row r="214" spans="1:8" ht="20.25" x14ac:dyDescent="0.3">
      <c r="A214" s="10"/>
      <c r="B214" s="114" t="s">
        <v>83</v>
      </c>
      <c r="C214" s="114" t="s">
        <v>89</v>
      </c>
      <c r="E214" s="8" t="s">
        <v>88</v>
      </c>
      <c r="F214" s="8" t="str">
        <f t="shared" si="0"/>
        <v xml:space="preserve">     Entre 100 y 500 SMLMV </v>
      </c>
    </row>
    <row r="215" spans="1:8" ht="20.25" x14ac:dyDescent="0.3">
      <c r="A215" s="10"/>
      <c r="B215" s="114" t="s">
        <v>51</v>
      </c>
      <c r="C215" s="114" t="s">
        <v>90</v>
      </c>
      <c r="E215" s="8" t="s">
        <v>89</v>
      </c>
      <c r="F215" s="8" t="str">
        <f t="shared" si="0"/>
        <v xml:space="preserve">     Mayor a 500 SMLMV </v>
      </c>
    </row>
    <row r="216" spans="1:8" ht="20.25" x14ac:dyDescent="0.3">
      <c r="A216" s="10"/>
      <c r="B216" s="114" t="s">
        <v>51</v>
      </c>
      <c r="C216" s="114" t="s">
        <v>91</v>
      </c>
      <c r="D216" s="8" t="s">
        <v>51</v>
      </c>
      <c r="F216" s="8" t="str">
        <f t="shared" si="0"/>
        <v>Pérdida Reputacional</v>
      </c>
    </row>
    <row r="217" spans="1:8" ht="20.25" x14ac:dyDescent="0.3">
      <c r="A217" s="10"/>
      <c r="B217" s="114" t="s">
        <v>51</v>
      </c>
      <c r="C217" s="114" t="s">
        <v>93</v>
      </c>
      <c r="E217" s="8" t="s">
        <v>90</v>
      </c>
      <c r="F217" s="8" t="str">
        <f t="shared" si="0"/>
        <v xml:space="preserve">     El riesgo afecta la imagen de alguna área de la organización</v>
      </c>
    </row>
    <row r="218" spans="1:8" ht="20.25" x14ac:dyDescent="0.3">
      <c r="A218" s="10"/>
      <c r="B218" s="114" t="s">
        <v>51</v>
      </c>
      <c r="C218" s="114" t="s">
        <v>92</v>
      </c>
      <c r="E218" s="8" t="s">
        <v>91</v>
      </c>
      <c r="F218" s="8" t="str">
        <f t="shared" si="0"/>
        <v xml:space="preserve">     El riesgo afecta la imagen de la entidad internamente, de conocimiento general, nivel interno, de junta dircetiva y accionistas y/o de provedores</v>
      </c>
    </row>
    <row r="219" spans="1:8" ht="20.25" x14ac:dyDescent="0.3">
      <c r="A219" s="10"/>
      <c r="B219" s="114" t="s">
        <v>51</v>
      </c>
      <c r="C219" s="114" t="s">
        <v>111</v>
      </c>
      <c r="E219" s="8" t="s">
        <v>93</v>
      </c>
      <c r="F219" s="8" t="str">
        <f t="shared" si="0"/>
        <v xml:space="preserve">     El riesgo afecta la imagen de la entidad con algunos usuarios de relevancia frente al logro de los objetivos</v>
      </c>
    </row>
    <row r="220" spans="1:8" x14ac:dyDescent="0.2">
      <c r="A220" s="10"/>
      <c r="B220" s="115"/>
      <c r="C220" s="115"/>
      <c r="E220" s="8" t="s">
        <v>92</v>
      </c>
      <c r="F220" s="8" t="str">
        <f t="shared" si="0"/>
        <v xml:space="preserve">     El riesgo afecta la imagen de de la entidad con efecto publicitario sostenido a nivel de sector administrativo, nivel departamental o municipal</v>
      </c>
    </row>
    <row r="221" spans="1:8" x14ac:dyDescent="0.2">
      <c r="A221" s="10"/>
      <c r="B221" s="115" t="str" cm="1">
        <f t="array" ref="B221:B223">_xlfn.UNIQUE(Tabla1[[#All],[Criterios]])</f>
        <v>Criterios</v>
      </c>
      <c r="C221" s="115"/>
      <c r="E221" s="8" t="s">
        <v>111</v>
      </c>
      <c r="F221" s="8" t="str">
        <f t="shared" si="0"/>
        <v xml:space="preserve">     El riesgo afecta la imagen de la entidad a nivel nacional, con efecto publicitarios sostenible a nivel país</v>
      </c>
    </row>
    <row r="222" spans="1:8" x14ac:dyDescent="0.2">
      <c r="A222" s="10"/>
      <c r="B222" s="115" t="str">
        <v>Afectación Económica o presupuestal</v>
      </c>
      <c r="C222" s="115"/>
    </row>
    <row r="223" spans="1:8" x14ac:dyDescent="0.2">
      <c r="B223" s="115" t="str">
        <v>Pérdida Reputacional</v>
      </c>
      <c r="C223" s="115"/>
      <c r="F223" s="3" t="s">
        <v>126</v>
      </c>
    </row>
    <row r="224" spans="1:8" x14ac:dyDescent="0.2">
      <c r="B224" s="116"/>
      <c r="C224" s="116"/>
      <c r="F224" s="3" t="s">
        <v>127</v>
      </c>
    </row>
    <row r="225" spans="2:4" x14ac:dyDescent="0.2">
      <c r="B225" s="116"/>
      <c r="C225" s="116"/>
    </row>
    <row r="226" spans="2:4" x14ac:dyDescent="0.2">
      <c r="B226" s="116"/>
      <c r="C226" s="116"/>
    </row>
    <row r="227" spans="2:4" x14ac:dyDescent="0.2">
      <c r="B227" s="116"/>
      <c r="C227" s="116"/>
      <c r="D227" s="116"/>
    </row>
    <row r="228" spans="2:4" x14ac:dyDescent="0.2">
      <c r="B228" s="116"/>
      <c r="C228" s="116"/>
      <c r="D228" s="116"/>
    </row>
    <row r="229" spans="2:4" x14ac:dyDescent="0.2">
      <c r="B229" s="116"/>
      <c r="C229" s="116"/>
      <c r="D229" s="116"/>
    </row>
    <row r="230" spans="2:4" x14ac:dyDescent="0.2">
      <c r="B230" s="116"/>
      <c r="C230" s="116"/>
      <c r="D230" s="116"/>
    </row>
    <row r="231" spans="2:4" x14ac:dyDescent="0.2">
      <c r="B231" s="116"/>
      <c r="C231" s="116"/>
      <c r="D231" s="116"/>
    </row>
    <row r="232" spans="2:4" x14ac:dyDescent="0.2">
      <c r="B232" s="116"/>
      <c r="C232" s="116"/>
      <c r="D232" s="116"/>
    </row>
  </sheetData>
  <mergeCells count="1">
    <mergeCell ref="B1:D1"/>
  </mergeCells>
  <dataValidations disablePrompts="1" count="1">
    <dataValidation type="list" allowBlank="1" showInputMessage="1" showErrorMessage="1" sqref="G210" xr:uid="{00000000-0002-0000-0700-000000000000}">
      <formula1>$F$210:$F$221</formula1>
    </dataValidation>
  </dataValidations>
  <pageMargins left="0.7" right="0.7" top="0.75" bottom="0.75" header="0.3" footer="0.3"/>
  <pageSetup orientation="portrait"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0"/>
  <dimension ref="A2:R33"/>
  <sheetViews>
    <sheetView showGridLines="0" zoomScaleNormal="100" workbookViewId="0">
      <selection activeCell="L26" sqref="L26"/>
    </sheetView>
  </sheetViews>
  <sheetFormatPr baseColWidth="10" defaultRowHeight="15" x14ac:dyDescent="0.25"/>
  <cols>
    <col min="1" max="1" width="11.85546875" customWidth="1"/>
    <col min="2" max="2" width="63.140625" customWidth="1"/>
    <col min="3" max="3" width="10.85546875" customWidth="1"/>
    <col min="4" max="4" width="10.5703125" customWidth="1"/>
    <col min="5" max="18" width="9.5703125" customWidth="1"/>
  </cols>
  <sheetData>
    <row r="2" spans="1:18" x14ac:dyDescent="0.25">
      <c r="A2" s="434" t="s">
        <v>147</v>
      </c>
      <c r="B2" s="434"/>
      <c r="C2" s="434"/>
      <c r="D2" s="434"/>
      <c r="E2" s="434"/>
    </row>
    <row r="3" spans="1:18" x14ac:dyDescent="0.25">
      <c r="A3" s="120" t="s">
        <v>148</v>
      </c>
      <c r="B3" s="120" t="s">
        <v>149</v>
      </c>
      <c r="C3" s="120" t="s">
        <v>250</v>
      </c>
      <c r="D3" s="120" t="s">
        <v>251</v>
      </c>
      <c r="E3" s="120" t="s">
        <v>252</v>
      </c>
      <c r="F3" s="120" t="s">
        <v>253</v>
      </c>
      <c r="G3" s="120" t="s">
        <v>254</v>
      </c>
      <c r="H3" s="120" t="s">
        <v>255</v>
      </c>
      <c r="I3" s="120" t="s">
        <v>256</v>
      </c>
      <c r="J3" s="120" t="s">
        <v>257</v>
      </c>
      <c r="K3" s="120" t="s">
        <v>258</v>
      </c>
      <c r="L3" s="120" t="s">
        <v>259</v>
      </c>
      <c r="M3" s="120" t="s">
        <v>260</v>
      </c>
      <c r="N3" s="120" t="s">
        <v>261</v>
      </c>
      <c r="O3" s="120" t="s">
        <v>262</v>
      </c>
      <c r="P3" s="120" t="s">
        <v>263</v>
      </c>
      <c r="Q3" s="120" t="s">
        <v>264</v>
      </c>
      <c r="R3" s="120" t="s">
        <v>265</v>
      </c>
    </row>
    <row r="4" spans="1:18" x14ac:dyDescent="0.25">
      <c r="A4" s="117">
        <v>1</v>
      </c>
      <c r="B4" s="118" t="s">
        <v>152</v>
      </c>
      <c r="C4" s="117"/>
      <c r="D4" s="117"/>
      <c r="E4" s="117"/>
      <c r="F4" s="117"/>
      <c r="G4" s="117"/>
      <c r="H4" s="117"/>
      <c r="I4" s="117"/>
      <c r="J4" s="117" t="s">
        <v>150</v>
      </c>
      <c r="K4" s="117" t="s">
        <v>150</v>
      </c>
      <c r="L4" s="117"/>
      <c r="M4" s="117"/>
      <c r="N4" s="117"/>
      <c r="O4" s="117"/>
      <c r="P4" s="117"/>
      <c r="Q4" s="117"/>
      <c r="R4" s="117"/>
    </row>
    <row r="5" spans="1:18" x14ac:dyDescent="0.25">
      <c r="A5" s="117">
        <v>2</v>
      </c>
      <c r="B5" s="118" t="s">
        <v>153</v>
      </c>
      <c r="C5" s="117"/>
      <c r="D5" s="117"/>
      <c r="E5" s="117"/>
      <c r="F5" s="117"/>
      <c r="G5" s="117"/>
      <c r="H5" s="117"/>
      <c r="I5" s="117"/>
      <c r="J5" s="117" t="s">
        <v>150</v>
      </c>
      <c r="K5" s="117" t="s">
        <v>150</v>
      </c>
      <c r="L5" s="117"/>
      <c r="M5" s="117"/>
      <c r="N5" s="117"/>
      <c r="O5" s="117"/>
      <c r="P5" s="117"/>
      <c r="Q5" s="117"/>
      <c r="R5" s="117"/>
    </row>
    <row r="6" spans="1:18" x14ac:dyDescent="0.25">
      <c r="A6" s="117">
        <v>3</v>
      </c>
      <c r="B6" s="118" t="s">
        <v>154</v>
      </c>
      <c r="C6" s="117"/>
      <c r="D6" s="117"/>
      <c r="E6" s="117"/>
      <c r="F6" s="117"/>
      <c r="G6" s="117"/>
      <c r="H6" s="117"/>
      <c r="I6" s="117"/>
      <c r="J6" s="117" t="s">
        <v>150</v>
      </c>
      <c r="K6" s="117"/>
      <c r="L6" s="117"/>
      <c r="M6" s="117"/>
      <c r="N6" s="117"/>
      <c r="O6" s="117"/>
      <c r="P6" s="117"/>
      <c r="Q6" s="117"/>
      <c r="R6" s="117"/>
    </row>
    <row r="7" spans="1:18" x14ac:dyDescent="0.25">
      <c r="A7" s="117">
        <v>4</v>
      </c>
      <c r="B7" s="118" t="s">
        <v>155</v>
      </c>
      <c r="C7" s="117"/>
      <c r="D7" s="117"/>
      <c r="E7" s="117"/>
      <c r="F7" s="117"/>
      <c r="G7" s="117"/>
      <c r="H7" s="117"/>
      <c r="I7" s="117"/>
      <c r="J7" s="117" t="s">
        <v>150</v>
      </c>
      <c r="K7" s="117"/>
      <c r="L7" s="117"/>
      <c r="M7" s="117"/>
      <c r="N7" s="117"/>
      <c r="O7" s="117"/>
      <c r="P7" s="117"/>
      <c r="Q7" s="117"/>
      <c r="R7" s="117"/>
    </row>
    <row r="8" spans="1:18" x14ac:dyDescent="0.25">
      <c r="A8" s="117">
        <v>5</v>
      </c>
      <c r="B8" s="118" t="s">
        <v>156</v>
      </c>
      <c r="C8" s="117"/>
      <c r="D8" s="117"/>
      <c r="E8" s="117"/>
      <c r="F8" s="117"/>
      <c r="G8" s="117"/>
      <c r="H8" s="117"/>
      <c r="I8" s="117"/>
      <c r="J8" s="117" t="s">
        <v>150</v>
      </c>
      <c r="K8" s="117"/>
      <c r="L8" s="117"/>
      <c r="M8" s="117"/>
      <c r="N8" s="117"/>
      <c r="O8" s="117"/>
      <c r="P8" s="117"/>
      <c r="Q8" s="117"/>
      <c r="R8" s="117"/>
    </row>
    <row r="9" spans="1:18" x14ac:dyDescent="0.25">
      <c r="A9" s="117">
        <v>6</v>
      </c>
      <c r="B9" s="118" t="s">
        <v>157</v>
      </c>
      <c r="C9" s="117"/>
      <c r="D9" s="117"/>
      <c r="E9" s="117"/>
      <c r="F9" s="117"/>
      <c r="G9" s="117"/>
      <c r="H9" s="117"/>
      <c r="I9" s="117"/>
      <c r="J9" s="117"/>
      <c r="K9" s="117" t="s">
        <v>150</v>
      </c>
      <c r="L9" s="117"/>
      <c r="M9" s="117"/>
      <c r="N9" s="117"/>
      <c r="O9" s="117"/>
      <c r="P9" s="117"/>
      <c r="Q9" s="117"/>
      <c r="R9" s="117"/>
    </row>
    <row r="10" spans="1:18" x14ac:dyDescent="0.25">
      <c r="A10" s="117">
        <v>7</v>
      </c>
      <c r="B10" s="118" t="s">
        <v>158</v>
      </c>
      <c r="C10" s="117"/>
      <c r="D10" s="117"/>
      <c r="E10" s="117"/>
      <c r="F10" s="117"/>
      <c r="G10" s="117"/>
      <c r="H10" s="117"/>
      <c r="I10" s="117"/>
      <c r="J10" s="117"/>
      <c r="K10" s="117"/>
      <c r="L10" s="117"/>
      <c r="M10" s="117"/>
      <c r="N10" s="117"/>
      <c r="O10" s="117"/>
      <c r="P10" s="117"/>
      <c r="Q10" s="117"/>
      <c r="R10" s="117"/>
    </row>
    <row r="11" spans="1:18" ht="24" x14ac:dyDescent="0.25">
      <c r="A11" s="117">
        <v>8</v>
      </c>
      <c r="B11" s="119" t="s">
        <v>159</v>
      </c>
      <c r="C11" s="117"/>
      <c r="D11" s="117"/>
      <c r="E11" s="117"/>
      <c r="F11" s="117"/>
      <c r="G11" s="117"/>
      <c r="H11" s="117"/>
      <c r="I11" s="117"/>
      <c r="J11" s="117"/>
      <c r="K11" s="117"/>
      <c r="L11" s="117"/>
      <c r="M11" s="117"/>
      <c r="N11" s="117"/>
      <c r="O11" s="117"/>
      <c r="P11" s="117"/>
      <c r="Q11" s="117"/>
      <c r="R11" s="117"/>
    </row>
    <row r="12" spans="1:18" x14ac:dyDescent="0.25">
      <c r="A12" s="117">
        <v>9</v>
      </c>
      <c r="B12" s="118" t="s">
        <v>160</v>
      </c>
      <c r="C12" s="117"/>
      <c r="D12" s="117"/>
      <c r="E12" s="117"/>
      <c r="F12" s="117"/>
      <c r="G12" s="117"/>
      <c r="H12" s="117"/>
      <c r="I12" s="117"/>
      <c r="J12" s="117"/>
      <c r="K12" s="117"/>
      <c r="L12" s="117"/>
      <c r="M12" s="117"/>
      <c r="N12" s="117"/>
      <c r="O12" s="117"/>
      <c r="P12" s="117"/>
      <c r="Q12" s="117"/>
      <c r="R12" s="117"/>
    </row>
    <row r="13" spans="1:18" x14ac:dyDescent="0.25">
      <c r="A13" s="117">
        <v>10</v>
      </c>
      <c r="B13" s="118" t="s">
        <v>161</v>
      </c>
      <c r="C13" s="117"/>
      <c r="D13" s="117"/>
      <c r="E13" s="117"/>
      <c r="F13" s="117"/>
      <c r="G13" s="117"/>
      <c r="H13" s="117"/>
      <c r="I13" s="117"/>
      <c r="J13" s="117" t="s">
        <v>150</v>
      </c>
      <c r="K13" s="117"/>
      <c r="L13" s="117"/>
      <c r="M13" s="117"/>
      <c r="N13" s="117"/>
      <c r="O13" s="117"/>
      <c r="P13" s="117"/>
      <c r="Q13" s="117"/>
      <c r="R13" s="117"/>
    </row>
    <row r="14" spans="1:18" x14ac:dyDescent="0.25">
      <c r="A14" s="117">
        <v>11</v>
      </c>
      <c r="B14" s="118" t="s">
        <v>162</v>
      </c>
      <c r="C14" s="117"/>
      <c r="D14" s="117"/>
      <c r="E14" s="117"/>
      <c r="F14" s="117"/>
      <c r="G14" s="117"/>
      <c r="H14" s="117"/>
      <c r="I14" s="117"/>
      <c r="J14" s="117" t="s">
        <v>150</v>
      </c>
      <c r="K14" s="117" t="s">
        <v>150</v>
      </c>
      <c r="L14" s="117"/>
      <c r="M14" s="117"/>
      <c r="N14" s="117"/>
      <c r="O14" s="117"/>
      <c r="P14" s="117"/>
      <c r="Q14" s="117"/>
      <c r="R14" s="117"/>
    </row>
    <row r="15" spans="1:18" x14ac:dyDescent="0.25">
      <c r="A15" s="117">
        <v>12</v>
      </c>
      <c r="B15" s="118" t="s">
        <v>163</v>
      </c>
      <c r="C15" s="117"/>
      <c r="D15" s="117"/>
      <c r="E15" s="117"/>
      <c r="F15" s="117"/>
      <c r="G15" s="117"/>
      <c r="H15" s="117"/>
      <c r="I15" s="117"/>
      <c r="J15" s="117" t="s">
        <v>150</v>
      </c>
      <c r="K15" s="117"/>
      <c r="L15" s="117"/>
      <c r="M15" s="117"/>
      <c r="N15" s="117"/>
      <c r="O15" s="117"/>
      <c r="P15" s="117"/>
      <c r="Q15" s="117"/>
      <c r="R15" s="117"/>
    </row>
    <row r="16" spans="1:18" x14ac:dyDescent="0.25">
      <c r="A16" s="117">
        <v>13</v>
      </c>
      <c r="B16" s="118" t="s">
        <v>164</v>
      </c>
      <c r="C16" s="117"/>
      <c r="D16" s="117"/>
      <c r="E16" s="117"/>
      <c r="F16" s="117"/>
      <c r="G16" s="117"/>
      <c r="H16" s="117"/>
      <c r="I16" s="117"/>
      <c r="J16" s="117"/>
      <c r="K16" s="117"/>
      <c r="L16" s="117"/>
      <c r="M16" s="117"/>
      <c r="N16" s="117"/>
      <c r="O16" s="117"/>
      <c r="P16" s="117"/>
      <c r="Q16" s="117"/>
      <c r="R16" s="117"/>
    </row>
    <row r="17" spans="1:18" x14ac:dyDescent="0.25">
      <c r="A17" s="117">
        <v>14</v>
      </c>
      <c r="B17" s="118" t="s">
        <v>165</v>
      </c>
      <c r="C17" s="117"/>
      <c r="D17" s="117"/>
      <c r="E17" s="117"/>
      <c r="F17" s="117"/>
      <c r="G17" s="117"/>
      <c r="H17" s="117"/>
      <c r="I17" s="117"/>
      <c r="J17" s="117"/>
      <c r="K17" s="117"/>
      <c r="L17" s="117"/>
      <c r="M17" s="117"/>
      <c r="N17" s="117"/>
      <c r="O17" s="117"/>
      <c r="P17" s="117"/>
      <c r="Q17" s="117"/>
      <c r="R17" s="117"/>
    </row>
    <row r="18" spans="1:18" x14ac:dyDescent="0.25">
      <c r="A18" s="117">
        <v>15</v>
      </c>
      <c r="B18" s="118" t="s">
        <v>166</v>
      </c>
      <c r="C18" s="117"/>
      <c r="D18" s="117"/>
      <c r="E18" s="117"/>
      <c r="F18" s="117"/>
      <c r="G18" s="117"/>
      <c r="H18" s="117"/>
      <c r="I18" s="117"/>
      <c r="J18" s="117" t="s">
        <v>150</v>
      </c>
      <c r="K18" s="117" t="s">
        <v>150</v>
      </c>
      <c r="L18" s="117"/>
      <c r="M18" s="117"/>
      <c r="N18" s="117"/>
      <c r="O18" s="117"/>
      <c r="P18" s="117"/>
      <c r="Q18" s="117"/>
      <c r="R18" s="117"/>
    </row>
    <row r="19" spans="1:18" x14ac:dyDescent="0.25">
      <c r="A19" s="117">
        <v>16</v>
      </c>
      <c r="B19" s="118" t="s">
        <v>167</v>
      </c>
      <c r="C19" s="117"/>
      <c r="D19" s="117"/>
      <c r="E19" s="117"/>
      <c r="F19" s="117"/>
      <c r="G19" s="117"/>
      <c r="H19" s="117"/>
      <c r="I19" s="117"/>
      <c r="J19" s="117"/>
      <c r="K19" s="117"/>
      <c r="L19" s="117"/>
      <c r="M19" s="117"/>
      <c r="N19" s="117"/>
      <c r="O19" s="117"/>
      <c r="P19" s="117"/>
      <c r="Q19" s="117"/>
      <c r="R19" s="117"/>
    </row>
    <row r="20" spans="1:18" x14ac:dyDescent="0.25">
      <c r="A20" s="117">
        <v>17</v>
      </c>
      <c r="B20" s="118" t="s">
        <v>168</v>
      </c>
      <c r="C20" s="117"/>
      <c r="D20" s="117"/>
      <c r="E20" s="117"/>
      <c r="F20" s="117"/>
      <c r="G20" s="117"/>
      <c r="H20" s="117"/>
      <c r="I20" s="117"/>
      <c r="J20" s="117" t="s">
        <v>150</v>
      </c>
      <c r="K20" s="117"/>
      <c r="L20" s="117"/>
      <c r="M20" s="117"/>
      <c r="N20" s="117"/>
      <c r="O20" s="117"/>
      <c r="P20" s="117"/>
      <c r="Q20" s="117"/>
      <c r="R20" s="117"/>
    </row>
    <row r="21" spans="1:18" x14ac:dyDescent="0.25">
      <c r="A21" s="117">
        <v>18</v>
      </c>
      <c r="B21" s="118" t="s">
        <v>169</v>
      </c>
      <c r="C21" s="117"/>
      <c r="D21" s="117"/>
      <c r="E21" s="117"/>
      <c r="F21" s="117"/>
      <c r="G21" s="117"/>
      <c r="H21" s="117"/>
      <c r="I21" s="117"/>
      <c r="J21" s="117" t="s">
        <v>150</v>
      </c>
      <c r="K21" s="117"/>
      <c r="L21" s="117"/>
      <c r="M21" s="117"/>
      <c r="N21" s="117"/>
      <c r="O21" s="117"/>
      <c r="P21" s="117"/>
      <c r="Q21" s="117"/>
      <c r="R21" s="117"/>
    </row>
    <row r="22" spans="1:18" x14ac:dyDescent="0.25">
      <c r="A22" s="117">
        <v>19</v>
      </c>
      <c r="B22" s="118" t="s">
        <v>170</v>
      </c>
      <c r="C22" s="117"/>
      <c r="D22" s="117"/>
      <c r="E22" s="117"/>
      <c r="F22" s="117"/>
      <c r="G22" s="117"/>
      <c r="H22" s="117"/>
      <c r="I22" s="117"/>
      <c r="J22" s="117"/>
      <c r="K22" s="117"/>
      <c r="L22" s="117"/>
      <c r="M22" s="117"/>
      <c r="N22" s="117"/>
      <c r="O22" s="117"/>
      <c r="P22" s="117"/>
      <c r="Q22" s="117"/>
      <c r="R22" s="117"/>
    </row>
    <row r="23" spans="1:18" x14ac:dyDescent="0.25">
      <c r="A23" s="117" t="s">
        <v>171</v>
      </c>
      <c r="B23" s="117"/>
      <c r="C23" s="117">
        <f>IF(AND(COUNTA(C4:C22)&gt;=0,COUNTA(C4:C22)&lt;19),0+COUNTA(C4:C22),19)</f>
        <v>0</v>
      </c>
      <c r="D23" s="117">
        <f t="shared" ref="D23:R23" si="0">IF(AND(COUNTA(D4:D22)&gt;=0,COUNTA(D4:D22)&lt;19),0+COUNTA(D4:D22),19)</f>
        <v>0</v>
      </c>
      <c r="E23" s="117">
        <f t="shared" si="0"/>
        <v>0</v>
      </c>
      <c r="F23" s="117">
        <f t="shared" si="0"/>
        <v>0</v>
      </c>
      <c r="G23" s="117">
        <f t="shared" si="0"/>
        <v>0</v>
      </c>
      <c r="H23" s="117">
        <f t="shared" si="0"/>
        <v>0</v>
      </c>
      <c r="I23" s="117">
        <f t="shared" si="0"/>
        <v>0</v>
      </c>
      <c r="J23" s="117">
        <f t="shared" si="0"/>
        <v>11</v>
      </c>
      <c r="K23" s="117">
        <f t="shared" si="0"/>
        <v>5</v>
      </c>
      <c r="L23" s="117">
        <f t="shared" si="0"/>
        <v>0</v>
      </c>
      <c r="M23" s="117">
        <f t="shared" si="0"/>
        <v>0</v>
      </c>
      <c r="N23" s="117">
        <f t="shared" si="0"/>
        <v>0</v>
      </c>
      <c r="O23" s="117">
        <f t="shared" si="0"/>
        <v>0</v>
      </c>
      <c r="P23" s="117">
        <f t="shared" si="0"/>
        <v>0</v>
      </c>
      <c r="Q23" s="117">
        <f t="shared" si="0"/>
        <v>0</v>
      </c>
      <c r="R23" s="117">
        <f t="shared" si="0"/>
        <v>0</v>
      </c>
    </row>
    <row r="25" spans="1:18" x14ac:dyDescent="0.25">
      <c r="A25" s="433" t="s">
        <v>172</v>
      </c>
      <c r="B25" s="433"/>
      <c r="C25" s="433"/>
      <c r="D25" s="121"/>
    </row>
    <row r="26" spans="1:18" ht="24" x14ac:dyDescent="0.25">
      <c r="A26" s="127" t="s">
        <v>173</v>
      </c>
      <c r="B26" s="127" t="s">
        <v>59</v>
      </c>
      <c r="C26" s="127" t="s">
        <v>174</v>
      </c>
      <c r="D26" s="122"/>
    </row>
    <row r="27" spans="1:18" x14ac:dyDescent="0.25">
      <c r="A27" s="128" t="s">
        <v>75</v>
      </c>
      <c r="B27" s="128" t="s">
        <v>175</v>
      </c>
      <c r="C27" s="129" t="s">
        <v>176</v>
      </c>
      <c r="D27" s="123"/>
    </row>
    <row r="28" spans="1:18" x14ac:dyDescent="0.25">
      <c r="A28" s="128" t="s">
        <v>177</v>
      </c>
      <c r="B28" s="128" t="s">
        <v>178</v>
      </c>
      <c r="C28" s="130" t="s">
        <v>179</v>
      </c>
      <c r="D28" s="124"/>
    </row>
    <row r="29" spans="1:18" x14ac:dyDescent="0.25">
      <c r="A29" s="128" t="s">
        <v>79</v>
      </c>
      <c r="B29" s="128" t="s">
        <v>180</v>
      </c>
      <c r="C29" s="131" t="s">
        <v>181</v>
      </c>
      <c r="D29" s="123"/>
      <c r="H29" s="125"/>
    </row>
    <row r="31" spans="1:18" hidden="1" x14ac:dyDescent="0.25"/>
    <row r="32" spans="1:18" hidden="1" x14ac:dyDescent="0.25">
      <c r="A32" s="126" t="s">
        <v>150</v>
      </c>
    </row>
    <row r="33" spans="1:1" hidden="1" x14ac:dyDescent="0.25">
      <c r="A33" s="126" t="s">
        <v>151</v>
      </c>
    </row>
  </sheetData>
  <mergeCells count="2">
    <mergeCell ref="A25:C25"/>
    <mergeCell ref="A2:E2"/>
  </mergeCells>
  <conditionalFormatting sqref="C23:R23">
    <cfRule type="cellIs" dxfId="2" priority="1" operator="between">
      <formula>12</formula>
      <formula>19</formula>
    </cfRule>
    <cfRule type="cellIs" dxfId="1" priority="2" operator="between">
      <formula>6</formula>
      <formula>11</formula>
    </cfRule>
    <cfRule type="cellIs" dxfId="0" priority="3" operator="between">
      <formula>1</formula>
      <formula>5</formula>
    </cfRule>
  </conditionalFormatting>
  <dataValidations count="1">
    <dataValidation type="list" allowBlank="1" showInputMessage="1" showErrorMessage="1" sqref="C4:R22" xr:uid="{00000000-0002-0000-0800-000000000000}">
      <formula1>$A$32:$A$33</formula1>
    </dataValidation>
  </dataValidations>
  <pageMargins left="0.7" right="0.7" top="0.75" bottom="0.75" header="0.3" footer="0.3"/>
  <pageSetup scale="95"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dimension ref="B1:F16"/>
  <sheetViews>
    <sheetView workbookViewId="0">
      <selection activeCell="E13" sqref="E13"/>
    </sheetView>
  </sheetViews>
  <sheetFormatPr baseColWidth="10" defaultColWidth="14.28515625" defaultRowHeight="14.25" x14ac:dyDescent="0.2"/>
  <cols>
    <col min="1" max="1" width="14.28515625" style="109"/>
    <col min="2" max="2" width="19.5703125" style="109" customWidth="1"/>
    <col min="3" max="3" width="17" style="109" customWidth="1"/>
    <col min="4" max="4" width="23.5703125" style="109" customWidth="1"/>
    <col min="5" max="5" width="46" style="109" customWidth="1"/>
    <col min="6" max="16384" width="14.28515625" style="109"/>
  </cols>
  <sheetData>
    <row r="1" spans="2:6" ht="24" customHeight="1" x14ac:dyDescent="0.2">
      <c r="B1" s="435" t="s">
        <v>72</v>
      </c>
      <c r="C1" s="436"/>
      <c r="D1" s="436"/>
      <c r="E1" s="436"/>
      <c r="F1" s="437"/>
    </row>
    <row r="3" spans="2:6" ht="15" x14ac:dyDescent="0.2">
      <c r="B3" s="439" t="s">
        <v>58</v>
      </c>
      <c r="C3" s="439"/>
      <c r="D3" s="439"/>
      <c r="E3" s="133" t="s">
        <v>59</v>
      </c>
      <c r="F3" s="133" t="s">
        <v>60</v>
      </c>
    </row>
    <row r="4" spans="2:6" ht="28.5" x14ac:dyDescent="0.2">
      <c r="B4" s="440" t="s">
        <v>61</v>
      </c>
      <c r="C4" s="440" t="s">
        <v>12</v>
      </c>
      <c r="D4" s="134" t="s">
        <v>13</v>
      </c>
      <c r="E4" s="135" t="s">
        <v>62</v>
      </c>
      <c r="F4" s="136">
        <v>0.25</v>
      </c>
    </row>
    <row r="5" spans="2:6" ht="42.75" x14ac:dyDescent="0.2">
      <c r="B5" s="440"/>
      <c r="C5" s="440"/>
      <c r="D5" s="134" t="s">
        <v>14</v>
      </c>
      <c r="E5" s="135" t="s">
        <v>63</v>
      </c>
      <c r="F5" s="136">
        <v>0.15</v>
      </c>
    </row>
    <row r="6" spans="2:6" ht="42.75" x14ac:dyDescent="0.2">
      <c r="B6" s="440"/>
      <c r="C6" s="440"/>
      <c r="D6" s="134" t="s">
        <v>15</v>
      </c>
      <c r="E6" s="135" t="s">
        <v>64</v>
      </c>
      <c r="F6" s="136">
        <v>0.1</v>
      </c>
    </row>
    <row r="7" spans="2:6" ht="57" x14ac:dyDescent="0.2">
      <c r="B7" s="440"/>
      <c r="C7" s="440" t="s">
        <v>16</v>
      </c>
      <c r="D7" s="134" t="s">
        <v>9</v>
      </c>
      <c r="E7" s="135" t="s">
        <v>65</v>
      </c>
      <c r="F7" s="136">
        <v>0.25</v>
      </c>
    </row>
    <row r="8" spans="2:6" ht="28.5" x14ac:dyDescent="0.2">
      <c r="B8" s="440"/>
      <c r="C8" s="440"/>
      <c r="D8" s="134" t="s">
        <v>8</v>
      </c>
      <c r="E8" s="135" t="s">
        <v>66</v>
      </c>
      <c r="F8" s="136">
        <v>0.15</v>
      </c>
    </row>
    <row r="9" spans="2:6" ht="57" x14ac:dyDescent="0.2">
      <c r="B9" s="440" t="s">
        <v>271</v>
      </c>
      <c r="C9" s="440" t="s">
        <v>17</v>
      </c>
      <c r="D9" s="134" t="s">
        <v>18</v>
      </c>
      <c r="E9" s="135" t="s">
        <v>67</v>
      </c>
      <c r="F9" s="137" t="s">
        <v>68</v>
      </c>
    </row>
    <row r="10" spans="2:6" ht="57" x14ac:dyDescent="0.2">
      <c r="B10" s="440"/>
      <c r="C10" s="440"/>
      <c r="D10" s="134" t="s">
        <v>19</v>
      </c>
      <c r="E10" s="135" t="s">
        <v>69</v>
      </c>
      <c r="F10" s="137" t="s">
        <v>68</v>
      </c>
    </row>
    <row r="11" spans="2:6" ht="42.75" x14ac:dyDescent="0.2">
      <c r="B11" s="440"/>
      <c r="C11" s="440" t="s">
        <v>20</v>
      </c>
      <c r="D11" s="134" t="s">
        <v>21</v>
      </c>
      <c r="E11" s="135" t="s">
        <v>70</v>
      </c>
      <c r="F11" s="137" t="s">
        <v>68</v>
      </c>
    </row>
    <row r="12" spans="2:6" ht="42.75" x14ac:dyDescent="0.2">
      <c r="B12" s="440"/>
      <c r="C12" s="440"/>
      <c r="D12" s="134" t="s">
        <v>22</v>
      </c>
      <c r="E12" s="135" t="s">
        <v>71</v>
      </c>
      <c r="F12" s="137" t="s">
        <v>68</v>
      </c>
    </row>
    <row r="13" spans="2:6" ht="28.5" x14ac:dyDescent="0.2">
      <c r="B13" s="440"/>
      <c r="C13" s="440" t="s">
        <v>23</v>
      </c>
      <c r="D13" s="134" t="s">
        <v>112</v>
      </c>
      <c r="E13" s="135" t="s">
        <v>115</v>
      </c>
      <c r="F13" s="137" t="s">
        <v>68</v>
      </c>
    </row>
    <row r="14" spans="2:6" ht="28.5" x14ac:dyDescent="0.2">
      <c r="B14" s="440"/>
      <c r="C14" s="440"/>
      <c r="D14" s="134" t="s">
        <v>113</v>
      </c>
      <c r="E14" s="135" t="s">
        <v>114</v>
      </c>
      <c r="F14" s="137" t="s">
        <v>68</v>
      </c>
    </row>
    <row r="15" spans="2:6" ht="49.5" customHeight="1" x14ac:dyDescent="0.2">
      <c r="B15" s="438" t="s">
        <v>272</v>
      </c>
      <c r="C15" s="438"/>
      <c r="D15" s="438"/>
      <c r="E15" s="438"/>
      <c r="F15" s="438"/>
    </row>
    <row r="16" spans="2:6" ht="27" customHeight="1" x14ac:dyDescent="0.25">
      <c r="B16" s="138"/>
    </row>
  </sheetData>
  <mergeCells count="10">
    <mergeCell ref="B1:F1"/>
    <mergeCell ref="B15:F15"/>
    <mergeCell ref="B3:D3"/>
    <mergeCell ref="B4:B8"/>
    <mergeCell ref="C4:C6"/>
    <mergeCell ref="C7:C8"/>
    <mergeCell ref="B9:B14"/>
    <mergeCell ref="C9:C10"/>
    <mergeCell ref="C11:C12"/>
    <mergeCell ref="C13:C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2"/>
  <dimension ref="A2:E80"/>
  <sheetViews>
    <sheetView showGridLines="0" workbookViewId="0">
      <selection activeCell="E28" sqref="E28"/>
    </sheetView>
  </sheetViews>
  <sheetFormatPr baseColWidth="10" defaultRowHeight="14.25" x14ac:dyDescent="0.2"/>
  <cols>
    <col min="1" max="1" width="60.28515625" style="8" customWidth="1"/>
    <col min="2" max="2" width="12.85546875" style="8" customWidth="1"/>
    <col min="3" max="3" width="91.140625" style="8" bestFit="1" customWidth="1"/>
    <col min="4" max="16384" width="11.42578125" style="8"/>
  </cols>
  <sheetData>
    <row r="2" spans="1:5" x14ac:dyDescent="0.2">
      <c r="A2" s="441" t="s">
        <v>198</v>
      </c>
      <c r="B2" s="441"/>
      <c r="C2" s="32"/>
      <c r="D2" s="33"/>
      <c r="E2" s="33"/>
    </row>
    <row r="3" spans="1:5" x14ac:dyDescent="0.2">
      <c r="A3" s="29" t="s">
        <v>199</v>
      </c>
      <c r="B3" s="26" t="s">
        <v>200</v>
      </c>
      <c r="C3" s="30" t="str">
        <f>CONCATENATE(A3," - ",B3)</f>
        <v>1. STAFF DIRECCIÓN GENERAL DE SANIDAD MILITAR - DIGSA</v>
      </c>
      <c r="D3" s="34"/>
      <c r="E3" s="34"/>
    </row>
    <row r="4" spans="1:5" x14ac:dyDescent="0.2">
      <c r="A4" s="30" t="s">
        <v>201</v>
      </c>
      <c r="B4" s="27" t="s">
        <v>202</v>
      </c>
      <c r="C4" s="30" t="str">
        <f t="shared" ref="C4:C23" si="0">CONCATENATE(A4," - ",B4)</f>
        <v>1.1. Área Ayudantía - ARAYU</v>
      </c>
      <c r="D4" s="34"/>
      <c r="E4" s="34"/>
    </row>
    <row r="5" spans="1:5" x14ac:dyDescent="0.2">
      <c r="A5" s="30" t="s">
        <v>203</v>
      </c>
      <c r="B5" s="27" t="s">
        <v>185</v>
      </c>
      <c r="C5" s="30" t="str">
        <f t="shared" si="0"/>
        <v>1.2. Área Gestión Documental - AREDO</v>
      </c>
      <c r="D5" s="34"/>
      <c r="E5" s="34"/>
    </row>
    <row r="6" spans="1:5" x14ac:dyDescent="0.2">
      <c r="A6" s="30" t="s">
        <v>204</v>
      </c>
      <c r="B6" s="27" t="s">
        <v>145</v>
      </c>
      <c r="C6" s="30" t="str">
        <f t="shared" si="0"/>
        <v>1.3. Área Comunicaciones Estratégicas y Gestión del Cambio - ARCOM</v>
      </c>
      <c r="D6" s="34"/>
      <c r="E6" s="34"/>
    </row>
    <row r="7" spans="1:5" x14ac:dyDescent="0.2">
      <c r="A7" s="30" t="s">
        <v>205</v>
      </c>
      <c r="B7" s="26" t="s">
        <v>184</v>
      </c>
      <c r="C7" s="30" t="str">
        <f t="shared" si="0"/>
        <v>1.5. Grupo Atención al Usuario y Participación Social - GRAPS</v>
      </c>
      <c r="D7" s="34"/>
      <c r="E7" s="34"/>
    </row>
    <row r="8" spans="1:5" x14ac:dyDescent="0.2">
      <c r="A8" s="30" t="s">
        <v>225</v>
      </c>
      <c r="B8" s="26" t="s">
        <v>183</v>
      </c>
      <c r="C8" s="30" t="str">
        <f t="shared" si="0"/>
        <v>1.6. Grupo Asuntos Legales - GRULE</v>
      </c>
      <c r="D8" s="34"/>
      <c r="E8" s="34"/>
    </row>
    <row r="9" spans="1:5" x14ac:dyDescent="0.2">
      <c r="A9" s="30" t="s">
        <v>206</v>
      </c>
      <c r="B9" s="26" t="s">
        <v>207</v>
      </c>
      <c r="C9" s="30" t="str">
        <f t="shared" si="0"/>
        <v>1.7. Grupo Planeación Estratégica - GRUPL</v>
      </c>
      <c r="D9" s="34"/>
      <c r="E9" s="34"/>
    </row>
    <row r="10" spans="1:5" x14ac:dyDescent="0.2">
      <c r="A10" s="30" t="s">
        <v>208</v>
      </c>
      <c r="B10" s="26" t="s">
        <v>182</v>
      </c>
      <c r="C10" s="30" t="str">
        <f t="shared" si="0"/>
        <v>1.8. Grupo Seguimiento y Evaluación - GRSYE</v>
      </c>
      <c r="D10" s="34"/>
      <c r="E10" s="34"/>
    </row>
    <row r="11" spans="1:5" x14ac:dyDescent="0.2">
      <c r="A11" s="29" t="s">
        <v>209</v>
      </c>
      <c r="B11" s="26" t="s">
        <v>210</v>
      </c>
      <c r="C11" s="30" t="str">
        <f t="shared" si="0"/>
        <v>2. SUBDIRECCION TECNICA Y DE GESTION - SUBTG</v>
      </c>
      <c r="D11" s="34"/>
      <c r="E11" s="34"/>
    </row>
    <row r="12" spans="1:5" x14ac:dyDescent="0.2">
      <c r="A12" s="30" t="s">
        <v>211</v>
      </c>
      <c r="B12" s="27" t="s">
        <v>196</v>
      </c>
      <c r="C12" s="30" t="str">
        <f t="shared" si="0"/>
        <v>2.1.  Grupo Gestión de la Afiliación - GRUGA</v>
      </c>
      <c r="D12" s="34"/>
      <c r="E12" s="34"/>
    </row>
    <row r="13" spans="1:5" x14ac:dyDescent="0.2">
      <c r="A13" s="30" t="s">
        <v>212</v>
      </c>
      <c r="B13" s="27" t="s">
        <v>187</v>
      </c>
      <c r="C13" s="30" t="str">
        <f t="shared" si="0"/>
        <v>2.2. Grupo Gestión de la Información - GRUGI</v>
      </c>
      <c r="D13" s="34"/>
      <c r="E13" s="34"/>
    </row>
    <row r="14" spans="1:5" ht="25.5" x14ac:dyDescent="0.2">
      <c r="A14" s="30" t="s">
        <v>226</v>
      </c>
      <c r="B14" s="27" t="s">
        <v>186</v>
      </c>
      <c r="C14" s="30" t="str">
        <f t="shared" si="0"/>
        <v>2.3. Grupo Sistema Integral de Información - Tecnologías de la Información  y Comunicaciones - SISAM</v>
      </c>
      <c r="D14" s="34"/>
      <c r="E14" s="34"/>
    </row>
    <row r="15" spans="1:5" x14ac:dyDescent="0.2">
      <c r="A15" s="29" t="s">
        <v>213</v>
      </c>
      <c r="B15" s="28" t="s">
        <v>214</v>
      </c>
      <c r="C15" s="30" t="str">
        <f t="shared" si="0"/>
        <v>3. SUBDIRECCION DE SALUD - SUBSA</v>
      </c>
      <c r="D15" s="34"/>
      <c r="E15" s="34"/>
    </row>
    <row r="16" spans="1:5" x14ac:dyDescent="0.2">
      <c r="A16" s="30" t="s">
        <v>215</v>
      </c>
      <c r="B16" s="28" t="s">
        <v>188</v>
      </c>
      <c r="C16" s="30" t="str">
        <f t="shared" si="0"/>
        <v>3.2. Grupo Gestión del Riesgo en Salud - GRERI</v>
      </c>
      <c r="D16" s="34"/>
      <c r="E16" s="34"/>
    </row>
    <row r="17" spans="1:5" x14ac:dyDescent="0.2">
      <c r="A17" s="30" t="s">
        <v>216</v>
      </c>
      <c r="B17" s="28" t="s">
        <v>189</v>
      </c>
      <c r="C17" s="30" t="str">
        <f t="shared" si="0"/>
        <v>3.3. Grupo Aseguramiento en Salud - GRUAS</v>
      </c>
      <c r="D17" s="34"/>
      <c r="E17" s="34"/>
    </row>
    <row r="18" spans="1:5" x14ac:dyDescent="0.2">
      <c r="A18" s="30" t="s">
        <v>217</v>
      </c>
      <c r="B18" s="28" t="s">
        <v>190</v>
      </c>
      <c r="C18" s="30" t="str">
        <f t="shared" si="0"/>
        <v>3.4. Grupo Prestación y Operación de Servicios de Salud - GROSD</v>
      </c>
      <c r="D18" s="34"/>
      <c r="E18" s="34"/>
    </row>
    <row r="19" spans="1:5" x14ac:dyDescent="0.2">
      <c r="A19" s="30" t="s">
        <v>218</v>
      </c>
      <c r="B19" s="28" t="s">
        <v>191</v>
      </c>
      <c r="C19" s="30" t="str">
        <f t="shared" si="0"/>
        <v>3.5. Grupo Salud Operacional - GRUSO</v>
      </c>
      <c r="D19" s="34"/>
      <c r="E19" s="34"/>
    </row>
    <row r="20" spans="1:5" x14ac:dyDescent="0.2">
      <c r="A20" s="29" t="s">
        <v>219</v>
      </c>
      <c r="B20" s="26" t="s">
        <v>220</v>
      </c>
      <c r="C20" s="30" t="str">
        <f t="shared" si="0"/>
        <v>4. SUBDIRECCION ADMINISTRATIVA Y FINANCIERA - SUBAF</v>
      </c>
      <c r="D20" s="34"/>
      <c r="E20" s="34"/>
    </row>
    <row r="21" spans="1:5" x14ac:dyDescent="0.2">
      <c r="A21" s="30" t="s">
        <v>221</v>
      </c>
      <c r="B21" s="26" t="s">
        <v>194</v>
      </c>
      <c r="C21" s="30" t="str">
        <f t="shared" si="0"/>
        <v>4.1. Grupo Gestión Financiera - GRUFI</v>
      </c>
      <c r="D21" s="34"/>
      <c r="E21" s="34"/>
    </row>
    <row r="22" spans="1:5" x14ac:dyDescent="0.2">
      <c r="A22" s="30" t="s">
        <v>222</v>
      </c>
      <c r="B22" s="26" t="s">
        <v>193</v>
      </c>
      <c r="C22" s="30" t="str">
        <f t="shared" si="0"/>
        <v>4.2. Grupo Talento Humano - GRUTH</v>
      </c>
      <c r="D22" s="34"/>
      <c r="E22" s="34"/>
    </row>
    <row r="23" spans="1:5" x14ac:dyDescent="0.2">
      <c r="A23" s="30" t="s">
        <v>223</v>
      </c>
      <c r="B23" s="26" t="s">
        <v>192</v>
      </c>
      <c r="C23" s="30" t="str">
        <f t="shared" si="0"/>
        <v>4.3. Grupo Contratación - GRUCO</v>
      </c>
      <c r="D23" s="34"/>
      <c r="E23" s="34"/>
    </row>
    <row r="24" spans="1:5" x14ac:dyDescent="0.2">
      <c r="A24" s="30" t="s">
        <v>224</v>
      </c>
      <c r="B24" s="26" t="s">
        <v>195</v>
      </c>
      <c r="C24" s="30" t="str">
        <f t="shared" ref="C24" si="1">CONCATENATE(A24," - ",B24)</f>
        <v>4.4. Grupo Apoyo Administrativo - GRUAA</v>
      </c>
      <c r="D24" s="34"/>
      <c r="E24" s="34"/>
    </row>
    <row r="27" spans="1:5" x14ac:dyDescent="0.2">
      <c r="A27" s="31" t="s">
        <v>44</v>
      </c>
    </row>
    <row r="28" spans="1:5" x14ac:dyDescent="0.2">
      <c r="A28" s="35" t="s">
        <v>237</v>
      </c>
      <c r="B28" s="444"/>
      <c r="C28" s="444"/>
    </row>
    <row r="29" spans="1:5" x14ac:dyDescent="0.2">
      <c r="A29" s="35" t="s">
        <v>236</v>
      </c>
      <c r="B29" s="442"/>
      <c r="C29" s="442"/>
    </row>
    <row r="30" spans="1:5" x14ac:dyDescent="0.2">
      <c r="A30" s="36" t="s">
        <v>230</v>
      </c>
      <c r="B30" s="442"/>
      <c r="C30" s="442"/>
    </row>
    <row r="31" spans="1:5" ht="15" customHeight="1" x14ac:dyDescent="0.2">
      <c r="A31" s="35" t="s">
        <v>233</v>
      </c>
      <c r="B31" s="442"/>
      <c r="C31" s="442"/>
    </row>
    <row r="32" spans="1:5" ht="15" customHeight="1" x14ac:dyDescent="0.2">
      <c r="A32" s="35" t="s">
        <v>238</v>
      </c>
      <c r="B32" s="442"/>
      <c r="C32" s="442"/>
    </row>
    <row r="33" spans="1:3" x14ac:dyDescent="0.2">
      <c r="A33" s="36" t="s">
        <v>231</v>
      </c>
      <c r="B33" s="445"/>
      <c r="C33" s="445"/>
    </row>
    <row r="34" spans="1:3" x14ac:dyDescent="0.2">
      <c r="A34" s="36" t="s">
        <v>232</v>
      </c>
      <c r="B34" s="445"/>
      <c r="C34" s="445"/>
    </row>
    <row r="35" spans="1:3" x14ac:dyDescent="0.2">
      <c r="A35" s="35" t="s">
        <v>234</v>
      </c>
      <c r="B35" s="443"/>
      <c r="C35" s="443"/>
    </row>
    <row r="36" spans="1:3" x14ac:dyDescent="0.2">
      <c r="A36" s="35" t="s">
        <v>239</v>
      </c>
      <c r="B36" s="9"/>
      <c r="C36" s="9"/>
    </row>
    <row r="37" spans="1:3" x14ac:dyDescent="0.2">
      <c r="A37" s="35" t="s">
        <v>240</v>
      </c>
      <c r="B37" s="9"/>
      <c r="C37" s="9"/>
    </row>
    <row r="38" spans="1:3" x14ac:dyDescent="0.2">
      <c r="A38" s="35" t="s">
        <v>235</v>
      </c>
      <c r="B38" s="9"/>
      <c r="C38" s="9"/>
    </row>
    <row r="39" spans="1:3" x14ac:dyDescent="0.2">
      <c r="B39" s="9"/>
      <c r="C39" s="9"/>
    </row>
    <row r="40" spans="1:3" x14ac:dyDescent="0.2">
      <c r="A40" s="31" t="s">
        <v>241</v>
      </c>
    </row>
    <row r="41" spans="1:3" x14ac:dyDescent="0.2">
      <c r="A41" s="35" t="s">
        <v>227</v>
      </c>
    </row>
    <row r="42" spans="1:3" x14ac:dyDescent="0.2">
      <c r="A42" s="35" t="s">
        <v>242</v>
      </c>
    </row>
    <row r="43" spans="1:3" x14ac:dyDescent="0.2">
      <c r="A43" s="35" t="s">
        <v>243</v>
      </c>
    </row>
    <row r="44" spans="1:3" x14ac:dyDescent="0.2">
      <c r="A44" s="35" t="s">
        <v>228</v>
      </c>
    </row>
    <row r="45" spans="1:3" x14ac:dyDescent="0.2">
      <c r="A45" s="35" t="s">
        <v>244</v>
      </c>
    </row>
    <row r="47" spans="1:3" ht="15" x14ac:dyDescent="0.2">
      <c r="A47" s="37" t="s">
        <v>28</v>
      </c>
    </row>
    <row r="48" spans="1:3" x14ac:dyDescent="0.2">
      <c r="A48" s="22" t="s">
        <v>29</v>
      </c>
    </row>
    <row r="49" spans="1:1" x14ac:dyDescent="0.2">
      <c r="A49" s="22" t="s">
        <v>30</v>
      </c>
    </row>
    <row r="50" spans="1:1" x14ac:dyDescent="0.2">
      <c r="A50" s="22" t="s">
        <v>118</v>
      </c>
    </row>
    <row r="51" spans="1:1" x14ac:dyDescent="0.2">
      <c r="A51" s="22" t="s">
        <v>117</v>
      </c>
    </row>
    <row r="53" spans="1:1" ht="15" x14ac:dyDescent="0.25">
      <c r="A53" s="132" t="s">
        <v>245</v>
      </c>
    </row>
    <row r="54" spans="1:1" x14ac:dyDescent="0.2">
      <c r="A54" s="22" t="s">
        <v>247</v>
      </c>
    </row>
    <row r="55" spans="1:1" x14ac:dyDescent="0.2">
      <c r="A55" s="22" t="s">
        <v>248</v>
      </c>
    </row>
    <row r="56" spans="1:1" x14ac:dyDescent="0.2">
      <c r="A56" s="22" t="s">
        <v>246</v>
      </c>
    </row>
    <row r="57" spans="1:1" x14ac:dyDescent="0.2">
      <c r="A57" s="22" t="s">
        <v>249</v>
      </c>
    </row>
    <row r="59" spans="1:1" ht="15" x14ac:dyDescent="0.25">
      <c r="A59" s="132" t="s">
        <v>1</v>
      </c>
    </row>
    <row r="60" spans="1:1" x14ac:dyDescent="0.2">
      <c r="A60" s="22" t="s">
        <v>266</v>
      </c>
    </row>
    <row r="61" spans="1:1" x14ac:dyDescent="0.2">
      <c r="A61" s="22" t="s">
        <v>267</v>
      </c>
    </row>
    <row r="62" spans="1:1" x14ac:dyDescent="0.2">
      <c r="A62" s="22" t="s">
        <v>268</v>
      </c>
    </row>
    <row r="64" spans="1:1" ht="15" x14ac:dyDescent="0.25">
      <c r="A64" s="132" t="s">
        <v>37</v>
      </c>
    </row>
    <row r="65" spans="1:1" x14ac:dyDescent="0.2">
      <c r="A65" s="22" t="s">
        <v>269</v>
      </c>
    </row>
    <row r="66" spans="1:1" x14ac:dyDescent="0.2">
      <c r="A66" s="22" t="s">
        <v>270</v>
      </c>
    </row>
    <row r="68" spans="1:1" ht="15" x14ac:dyDescent="0.25">
      <c r="A68" s="132" t="s">
        <v>7</v>
      </c>
    </row>
    <row r="69" spans="1:1" x14ac:dyDescent="0.2">
      <c r="A69" s="22" t="s">
        <v>13</v>
      </c>
    </row>
    <row r="70" spans="1:1" x14ac:dyDescent="0.2">
      <c r="A70" s="22" t="s">
        <v>14</v>
      </c>
    </row>
    <row r="71" spans="1:1" x14ac:dyDescent="0.2">
      <c r="A71" s="22" t="s">
        <v>15</v>
      </c>
    </row>
    <row r="72" spans="1:1" x14ac:dyDescent="0.2">
      <c r="A72" s="22" t="s">
        <v>9</v>
      </c>
    </row>
    <row r="73" spans="1:1" x14ac:dyDescent="0.2">
      <c r="A73" s="22" t="s">
        <v>8</v>
      </c>
    </row>
    <row r="74" spans="1:1" x14ac:dyDescent="0.2">
      <c r="A74" s="22" t="s">
        <v>18</v>
      </c>
    </row>
    <row r="75" spans="1:1" x14ac:dyDescent="0.2">
      <c r="A75" s="22" t="s">
        <v>19</v>
      </c>
    </row>
    <row r="76" spans="1:1" x14ac:dyDescent="0.2">
      <c r="A76" s="22" t="s">
        <v>21</v>
      </c>
    </row>
    <row r="77" spans="1:1" x14ac:dyDescent="0.2">
      <c r="A77" s="22" t="s">
        <v>22</v>
      </c>
    </row>
    <row r="78" spans="1:1" x14ac:dyDescent="0.2">
      <c r="A78" s="22" t="s">
        <v>24</v>
      </c>
    </row>
    <row r="79" spans="1:1" x14ac:dyDescent="0.2">
      <c r="A79" s="22" t="s">
        <v>25</v>
      </c>
    </row>
    <row r="80" spans="1:1" x14ac:dyDescent="0.2">
      <c r="A80" s="22" t="s">
        <v>26</v>
      </c>
    </row>
  </sheetData>
  <sortState xmlns:xlrd2="http://schemas.microsoft.com/office/spreadsheetml/2017/richdata2" ref="A28:A38">
    <sortCondition ref="A28:A38"/>
  </sortState>
  <mergeCells count="9">
    <mergeCell ref="A2:B2"/>
    <mergeCell ref="B29:C29"/>
    <mergeCell ref="B35:C35"/>
    <mergeCell ref="B30:C30"/>
    <mergeCell ref="B28:C28"/>
    <mergeCell ref="B31:C31"/>
    <mergeCell ref="B32:C32"/>
    <mergeCell ref="B33:C33"/>
    <mergeCell ref="B34:C34"/>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2</vt:i4>
      </vt:variant>
    </vt:vector>
  </HeadingPairs>
  <TitlesOfParts>
    <vt:vector size="10" baseType="lpstr">
      <vt:lpstr>Mapa DIGSA</vt:lpstr>
      <vt:lpstr>Matriz Calor Inherente</vt:lpstr>
      <vt:lpstr>Matriz Calor Residual</vt:lpstr>
      <vt:lpstr>Tabla probabilidad</vt:lpstr>
      <vt:lpstr>Tabla Impacto</vt:lpstr>
      <vt:lpstr>Tabla Impacto Corrupción</vt:lpstr>
      <vt:lpstr>Tabla Valoración controles</vt:lpstr>
      <vt:lpstr>PARAMETROS</vt:lpstr>
      <vt:lpstr>'Mapa DIGSA'!Área_de_impresión</vt:lpstr>
      <vt:lpstr>'Mapa DIGSA'!Títulos_a_imprimir</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Myrian Cubillos Benavides</dc:creator>
  <cp:lastModifiedBy>SMSM. Adriana Espinel Torres</cp:lastModifiedBy>
  <cp:lastPrinted>2023-12-20T20:37:51Z</cp:lastPrinted>
  <dcterms:created xsi:type="dcterms:W3CDTF">2020-03-24T23:12:47Z</dcterms:created>
  <dcterms:modified xsi:type="dcterms:W3CDTF">2025-07-16T14:25:41Z</dcterms:modified>
</cp:coreProperties>
</file>